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200" windowHeight="6870" tabRatio="601" firstSheet="9" activeTab="14"/>
  </bookViews>
  <sheets>
    <sheet name="Summary" sheetId="35" r:id="rId1"/>
    <sheet name="Horticulture" sheetId="6" r:id="rId2"/>
    <sheet name="Fruits" sheetId="7" r:id="rId3"/>
    <sheet name=" Citrus" sheetId="13" r:id="rId4"/>
    <sheet name="Vegetables" sheetId="8" r:id="rId5"/>
    <sheet name="Plantations " sheetId="9" r:id="rId6"/>
    <sheet name="Flowers " sheetId="16" r:id="rId7"/>
    <sheet name="Spices" sheetId="25" r:id="rId8"/>
    <sheet name="Horticulture (UT's )" sheetId="33" r:id="rId9"/>
    <sheet name="Fruits (UT's)" sheetId="27" r:id="rId10"/>
    <sheet name=" Citrus (UT's)" sheetId="28" r:id="rId11"/>
    <sheet name="Vegetables (UT's)" sheetId="29" r:id="rId12"/>
    <sheet name="Plantation (UT's)" sheetId="30" r:id="rId13"/>
    <sheet name="Flowers (UT's)" sheetId="31" r:id="rId14"/>
    <sheet name="Spices (UT's)" sheetId="32" r:id="rId15"/>
  </sheets>
  <definedNames>
    <definedName name="_xlnm._FilterDatabase" localSheetId="3" hidden="1">' Citrus'!$A$1:$L$33</definedName>
    <definedName name="_xlnm._FilterDatabase" localSheetId="10" hidden="1">' Citrus (UT''s)'!$A$1:$L$11</definedName>
    <definedName name="_xlnm._FilterDatabase" localSheetId="6" hidden="1">'Flowers '!$A$1:$AP$34</definedName>
    <definedName name="_xlnm._FilterDatabase" localSheetId="13" hidden="1">'Flowers (UT''s)'!$A$1:$AP$11</definedName>
    <definedName name="_xlnm._FilterDatabase" localSheetId="2" hidden="1">Fruits!$A$1:$HW$32</definedName>
    <definedName name="_xlnm._FilterDatabase" localSheetId="9" hidden="1">'Fruits (UT''s)'!$A$1:$HW$10</definedName>
    <definedName name="_xlnm._FilterDatabase" localSheetId="1" hidden="1">Horticulture!$A$1:$R$33</definedName>
    <definedName name="_xlnm._FilterDatabase" localSheetId="8" hidden="1">'Horticulture (UT''s )'!$A$1:$R$11</definedName>
    <definedName name="_xlnm._FilterDatabase" localSheetId="12" hidden="1">'Plantation (UT''s)'!$A$1:$L$16</definedName>
    <definedName name="_xlnm._FilterDatabase" localSheetId="5" hidden="1">'Plantations '!$A$1:$L$39</definedName>
    <definedName name="_xlnm._FilterDatabase" localSheetId="7" hidden="1">Spices!$A$1:$AP$32</definedName>
    <definedName name="_xlnm._FilterDatabase" localSheetId="14" hidden="1">'Spices (UT''s)'!$A$1:$AP$10</definedName>
    <definedName name="_xlnm._FilterDatabase" localSheetId="4" hidden="1">Vegetables!$A$1:$BG$34</definedName>
    <definedName name="_xlnm._FilterDatabase" localSheetId="11" hidden="1">'Vegetables (UT''s)'!$A$1:$BG$11</definedName>
    <definedName name="OLE_LINK1" localSheetId="1">Horticulture!#REF!</definedName>
    <definedName name="OLE_LINK1" localSheetId="8">'Horticulture (UT''s )'!#REF!</definedName>
    <definedName name="_xlnm.Print_Area" localSheetId="3">' Citrus'!$A$1:$L$35</definedName>
    <definedName name="_xlnm.Print_Area" localSheetId="10">' Citrus (UT''s)'!$A$1:$L$13</definedName>
    <definedName name="_xlnm.Print_Area" localSheetId="6">'Flowers '!$A$1:$AP$33</definedName>
    <definedName name="_xlnm.Print_Area" localSheetId="13">'Flowers (UT''s)'!$A$1:$AP$11</definedName>
    <definedName name="_xlnm.Print_Area" localSheetId="2">Fruits!$A$1:$BH$32</definedName>
    <definedName name="_xlnm.Print_Area" localSheetId="9">'Fruits (UT''s)'!$A$1:$BH$10</definedName>
    <definedName name="_xlnm.Print_Area" localSheetId="1">Horticulture!$A$1:$R$33</definedName>
    <definedName name="_xlnm.Print_Area" localSheetId="8">'Horticulture (UT''s )'!$A$1:$R$11</definedName>
    <definedName name="_xlnm.Print_Area" localSheetId="12">'Plantation (UT''s)'!$A$1:$L$15</definedName>
    <definedName name="_xlnm.Print_Area" localSheetId="5">'Plantations '!$A$1:$L$37</definedName>
    <definedName name="_xlnm.Print_Area" localSheetId="7">Spices!$A$1:$AP$32</definedName>
    <definedName name="_xlnm.Print_Area" localSheetId="14">'Spices (UT''s)'!$A$1:$AP$10</definedName>
    <definedName name="_xlnm.Print_Area" localSheetId="0">Summary!$A$1:$G$105</definedName>
    <definedName name="_xlnm.Print_Area" localSheetId="4">Vegetables!$A$1:$AX$32</definedName>
    <definedName name="_xlnm.Print_Area" localSheetId="11">'Vegetables (UT''s)'!$A$1:$AX$10</definedName>
    <definedName name="_xlnm.Print_Titles" localSheetId="6">'Flowers '!$A:$C,'Flowers '!$1:$3</definedName>
    <definedName name="_xlnm.Print_Titles" localSheetId="13">'Flowers (UT''s)'!$A:$C,'Flowers (UT''s)'!$1:$3</definedName>
    <definedName name="_xlnm.Print_Titles" localSheetId="2">Fruits!$A:$B,Fruits!$1:$2</definedName>
    <definedName name="_xlnm.Print_Titles" localSheetId="9">'Fruits (UT''s)'!$A:$B,'Fruits (UT''s)'!$1:$2</definedName>
    <definedName name="_xlnm.Print_Titles" localSheetId="7">Spices!$A:$B,Spices!$1:$2</definedName>
    <definedName name="_xlnm.Print_Titles" localSheetId="14">'Spices (UT''s)'!$B:$B</definedName>
    <definedName name="_xlnm.Print_Titles" localSheetId="4">Vegetables!$A:$B,Vegetables!$1:$2</definedName>
    <definedName name="_xlnm.Print_Titles" localSheetId="11">'Vegetables (UT''s)'!$A:$B,'Vegetables (UT''s)'!$1:$2</definedName>
  </definedNames>
  <calcPr calcId="125725"/>
  <fileRecoveryPr autoRecover="0"/>
</workbook>
</file>

<file path=xl/calcChain.xml><?xml version="1.0" encoding="utf-8"?>
<calcChain xmlns="http://schemas.openxmlformats.org/spreadsheetml/2006/main">
  <c r="R5" i="33"/>
  <c r="R11" s="1"/>
  <c r="R6"/>
  <c r="R7"/>
  <c r="R8"/>
  <c r="R9"/>
  <c r="R10"/>
  <c r="R4"/>
  <c r="Q5"/>
  <c r="Q6"/>
  <c r="Q7"/>
  <c r="Q8"/>
  <c r="Q9"/>
  <c r="Q10"/>
  <c r="Q4"/>
  <c r="D11"/>
  <c r="E11"/>
  <c r="F11"/>
  <c r="G11"/>
  <c r="H11"/>
  <c r="I11"/>
  <c r="J11"/>
  <c r="K11"/>
  <c r="L11"/>
  <c r="M11"/>
  <c r="N11"/>
  <c r="O11"/>
  <c r="P11"/>
  <c r="C11"/>
  <c r="AN5" i="16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O4"/>
  <c r="AP4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D33"/>
  <c r="AN4"/>
  <c r="K4" i="9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L3"/>
  <c r="K3"/>
  <c r="D32"/>
  <c r="E32"/>
  <c r="F32"/>
  <c r="G32"/>
  <c r="H32"/>
  <c r="I32"/>
  <c r="J32"/>
  <c r="C32"/>
  <c r="AW4" i="8"/>
  <c r="AX4"/>
  <c r="AW5"/>
  <c r="AX5"/>
  <c r="AW6"/>
  <c r="AX6"/>
  <c r="AW7"/>
  <c r="AX7"/>
  <c r="AW8"/>
  <c r="AX8"/>
  <c r="AW9"/>
  <c r="AX9"/>
  <c r="AW10"/>
  <c r="AX10"/>
  <c r="AW11"/>
  <c r="AX11"/>
  <c r="AW12"/>
  <c r="AX12"/>
  <c r="AW13"/>
  <c r="AX13"/>
  <c r="AW14"/>
  <c r="AX14"/>
  <c r="AW15"/>
  <c r="AX15"/>
  <c r="AW16"/>
  <c r="AX16"/>
  <c r="AW17"/>
  <c r="AX17"/>
  <c r="AW18"/>
  <c r="AX18"/>
  <c r="AW19"/>
  <c r="AX19"/>
  <c r="AW20"/>
  <c r="AX20"/>
  <c r="AW21"/>
  <c r="AX21"/>
  <c r="AW22"/>
  <c r="AX22"/>
  <c r="AW23"/>
  <c r="AX23"/>
  <c r="AW24"/>
  <c r="AX24"/>
  <c r="AW25"/>
  <c r="AX25"/>
  <c r="AW26"/>
  <c r="AX26"/>
  <c r="AW27"/>
  <c r="AX27"/>
  <c r="AW28"/>
  <c r="AX28"/>
  <c r="AW29"/>
  <c r="AX29"/>
  <c r="AW30"/>
  <c r="AX30"/>
  <c r="AW31"/>
  <c r="AX31"/>
  <c r="AX3"/>
  <c r="AW3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C32"/>
  <c r="K4" i="13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L3"/>
  <c r="K3"/>
  <c r="D32"/>
  <c r="E32"/>
  <c r="F32"/>
  <c r="G32"/>
  <c r="H32"/>
  <c r="I32"/>
  <c r="J32"/>
  <c r="C32"/>
  <c r="AV27" i="8"/>
  <c r="K32" i="9" l="1"/>
  <c r="AN33" i="16"/>
  <c r="AW32" i="8"/>
  <c r="AX32"/>
  <c r="K32" i="13"/>
  <c r="Q11" i="33"/>
  <c r="AP33" i="16"/>
  <c r="AO33"/>
  <c r="L32" i="9"/>
  <c r="L32" i="13"/>
  <c r="AO4" i="25"/>
  <c r="AP4"/>
  <c r="AO5"/>
  <c r="AP5"/>
  <c r="AO6"/>
  <c r="AP6"/>
  <c r="AO7"/>
  <c r="AP7"/>
  <c r="AO8"/>
  <c r="AP8"/>
  <c r="AO9"/>
  <c r="AP9"/>
  <c r="AO10"/>
  <c r="AP10"/>
  <c r="AO11"/>
  <c r="AP11"/>
  <c r="AO12"/>
  <c r="AP12"/>
  <c r="AO13"/>
  <c r="AP13"/>
  <c r="AO14"/>
  <c r="AP14"/>
  <c r="AO15"/>
  <c r="AP15"/>
  <c r="AO16"/>
  <c r="AP16"/>
  <c r="AO17"/>
  <c r="AP17"/>
  <c r="AO18"/>
  <c r="AP18"/>
  <c r="AO19"/>
  <c r="AP19"/>
  <c r="AO20"/>
  <c r="AP20"/>
  <c r="AO21"/>
  <c r="AP21"/>
  <c r="AO22"/>
  <c r="AP22"/>
  <c r="AO23"/>
  <c r="AP23"/>
  <c r="AO24"/>
  <c r="AP24"/>
  <c r="AO25"/>
  <c r="AP25"/>
  <c r="AO26"/>
  <c r="AP26"/>
  <c r="AO27"/>
  <c r="AP27"/>
  <c r="AO28"/>
  <c r="AP28"/>
  <c r="AO29"/>
  <c r="AP29"/>
  <c r="AO30"/>
  <c r="AP30"/>
  <c r="AP3"/>
  <c r="AO3"/>
  <c r="F31"/>
  <c r="K31"/>
  <c r="L31"/>
  <c r="M31"/>
  <c r="N31"/>
  <c r="O31"/>
  <c r="P31"/>
  <c r="Q31"/>
  <c r="R31"/>
  <c r="S31"/>
  <c r="T31"/>
  <c r="U31"/>
  <c r="V31"/>
  <c r="W31"/>
  <c r="X31"/>
  <c r="Y31"/>
  <c r="Z31"/>
  <c r="AG31"/>
  <c r="AH31"/>
  <c r="AI31"/>
  <c r="AJ31"/>
  <c r="AK31"/>
  <c r="AL31"/>
  <c r="AM31"/>
  <c r="AN31"/>
  <c r="E32" i="16" l="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D32"/>
  <c r="E31" i="9"/>
  <c r="F31"/>
  <c r="G31"/>
  <c r="H31"/>
  <c r="I31"/>
  <c r="J31"/>
  <c r="D31" i="8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C31"/>
  <c r="D31" i="13"/>
  <c r="E31"/>
  <c r="F31"/>
  <c r="G31"/>
  <c r="H31"/>
  <c r="I31"/>
  <c r="J31"/>
  <c r="C31"/>
  <c r="K5" i="33"/>
  <c r="L5"/>
  <c r="M5"/>
  <c r="K6"/>
  <c r="L6"/>
  <c r="M6"/>
  <c r="K7"/>
  <c r="L7"/>
  <c r="M7"/>
  <c r="K8"/>
  <c r="L8"/>
  <c r="M8"/>
  <c r="K9"/>
  <c r="L9"/>
  <c r="M9"/>
  <c r="K10"/>
  <c r="L10"/>
  <c r="M10"/>
  <c r="L4"/>
  <c r="M4"/>
  <c r="K4"/>
  <c r="G5"/>
  <c r="H5"/>
  <c r="G6"/>
  <c r="H6"/>
  <c r="G7"/>
  <c r="H7"/>
  <c r="G8"/>
  <c r="G9"/>
  <c r="H9"/>
  <c r="G10"/>
  <c r="H4"/>
  <c r="E5"/>
  <c r="F5"/>
  <c r="E6"/>
  <c r="F6"/>
  <c r="E7"/>
  <c r="F7"/>
  <c r="E8"/>
  <c r="F8"/>
  <c r="E9"/>
  <c r="F9"/>
  <c r="E10"/>
  <c r="F10"/>
  <c r="F4"/>
  <c r="E4"/>
  <c r="C5"/>
  <c r="D5"/>
  <c r="C6"/>
  <c r="D6"/>
  <c r="C7"/>
  <c r="D7"/>
  <c r="C8"/>
  <c r="D8"/>
  <c r="C9"/>
  <c r="D9"/>
  <c r="C10"/>
  <c r="D10"/>
  <c r="D4"/>
  <c r="C4"/>
  <c r="D10" i="32"/>
  <c r="D31" i="25" s="1"/>
  <c r="E10" i="32"/>
  <c r="E31" i="25" s="1"/>
  <c r="F10" i="32"/>
  <c r="G10"/>
  <c r="G31" i="25" s="1"/>
  <c r="H10" i="32"/>
  <c r="H31" i="25" s="1"/>
  <c r="I10" i="32"/>
  <c r="I31" i="25" s="1"/>
  <c r="J10" i="32"/>
  <c r="J31" i="25" s="1"/>
  <c r="K10" i="32"/>
  <c r="K32" i="25" s="1"/>
  <c r="L10" i="32"/>
  <c r="L32" i="25" s="1"/>
  <c r="M10" i="32"/>
  <c r="M32" i="25" s="1"/>
  <c r="N10" i="32"/>
  <c r="N32" i="25" s="1"/>
  <c r="O10" i="32"/>
  <c r="O32" i="25" s="1"/>
  <c r="P10" i="32"/>
  <c r="P32" i="25" s="1"/>
  <c r="Q10" i="32"/>
  <c r="Q32" i="25" s="1"/>
  <c r="R10" i="32"/>
  <c r="R32" i="25" s="1"/>
  <c r="S10" i="32"/>
  <c r="S32" i="25" s="1"/>
  <c r="T10" i="32"/>
  <c r="T32" i="25" s="1"/>
  <c r="U10" i="32"/>
  <c r="U32" i="25" s="1"/>
  <c r="V10" i="32"/>
  <c r="V32" i="25" s="1"/>
  <c r="W10" i="32"/>
  <c r="W32" i="25" s="1"/>
  <c r="X10" i="32"/>
  <c r="X32" i="25" s="1"/>
  <c r="Y10" i="32"/>
  <c r="Y32" i="25" s="1"/>
  <c r="Z10" i="32"/>
  <c r="Z32" i="25" s="1"/>
  <c r="AA10" i="32"/>
  <c r="AA31" i="25" s="1"/>
  <c r="AB10" i="32"/>
  <c r="AB31" i="25" s="1"/>
  <c r="AC10" i="32"/>
  <c r="AC31" i="25" s="1"/>
  <c r="AD10" i="32"/>
  <c r="AD31" i="25" s="1"/>
  <c r="AE10" i="32"/>
  <c r="AE31" i="25" s="1"/>
  <c r="AF10" i="32"/>
  <c r="AF31" i="25" s="1"/>
  <c r="AG10" i="32"/>
  <c r="AH10"/>
  <c r="AI10"/>
  <c r="AI32" i="25" s="1"/>
  <c r="AJ10" i="32"/>
  <c r="AJ32" i="25" s="1"/>
  <c r="AK10" i="32"/>
  <c r="AK32" i="25" s="1"/>
  <c r="AL10" i="32"/>
  <c r="AL32" i="25" s="1"/>
  <c r="AM10" i="32"/>
  <c r="AM32" i="25" s="1"/>
  <c r="AN10" i="32"/>
  <c r="AN32" i="25" s="1"/>
  <c r="C10" i="32"/>
  <c r="C31" i="25" s="1"/>
  <c r="AO4" i="32"/>
  <c r="N5" i="33" s="1"/>
  <c r="AP4" i="32"/>
  <c r="O5" i="33" s="1"/>
  <c r="AO5" i="32"/>
  <c r="N6" i="33" s="1"/>
  <c r="AP5" i="32"/>
  <c r="O6" i="33" s="1"/>
  <c r="AO6" i="32"/>
  <c r="N7" i="33" s="1"/>
  <c r="AP6" i="32"/>
  <c r="O7" i="33" s="1"/>
  <c r="AO7" i="32"/>
  <c r="AP7"/>
  <c r="AO8"/>
  <c r="N9" i="33" s="1"/>
  <c r="AP8" i="32"/>
  <c r="O9" i="33" s="1"/>
  <c r="AO9" i="32"/>
  <c r="N10" i="33" s="1"/>
  <c r="AP9" i="32"/>
  <c r="O10" i="33" s="1"/>
  <c r="AP3" i="32"/>
  <c r="O4" i="33" s="1"/>
  <c r="AO3" i="32"/>
  <c r="N4" i="33" s="1"/>
  <c r="E11" i="3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D11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O4"/>
  <c r="AP4"/>
  <c r="AN4"/>
  <c r="K4" i="30"/>
  <c r="L4"/>
  <c r="K5"/>
  <c r="L5"/>
  <c r="K6"/>
  <c r="L6"/>
  <c r="K7"/>
  <c r="L7"/>
  <c r="H8" i="33" s="1"/>
  <c r="K8" i="30"/>
  <c r="L8"/>
  <c r="K9"/>
  <c r="L9"/>
  <c r="H10" i="33" s="1"/>
  <c r="L3" i="30"/>
  <c r="K3"/>
  <c r="G4" i="33" s="1"/>
  <c r="D10" i="30"/>
  <c r="D31" i="9" s="1"/>
  <c r="E10" i="30"/>
  <c r="F10"/>
  <c r="G10"/>
  <c r="H10"/>
  <c r="I10"/>
  <c r="J10"/>
  <c r="C10"/>
  <c r="C31" i="9" s="1"/>
  <c r="AW4" i="29"/>
  <c r="AW10" s="1"/>
  <c r="AX4"/>
  <c r="AW5"/>
  <c r="AX5"/>
  <c r="AW6"/>
  <c r="AX6"/>
  <c r="AW7"/>
  <c r="AX7"/>
  <c r="AW8"/>
  <c r="AX8"/>
  <c r="AW9"/>
  <c r="AX9"/>
  <c r="AX3"/>
  <c r="AW3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X10"/>
  <c r="C10"/>
  <c r="AI4" i="27"/>
  <c r="AJ4"/>
  <c r="AI5"/>
  <c r="AJ5"/>
  <c r="AI6"/>
  <c r="AJ6"/>
  <c r="AI7"/>
  <c r="AJ7"/>
  <c r="AI8"/>
  <c r="AJ8"/>
  <c r="AI9"/>
  <c r="AJ9"/>
  <c r="AJ3"/>
  <c r="AI3"/>
  <c r="K4" i="28"/>
  <c r="K10" s="1"/>
  <c r="L4"/>
  <c r="K5"/>
  <c r="L5"/>
  <c r="L10" s="1"/>
  <c r="K6"/>
  <c r="L6"/>
  <c r="K7"/>
  <c r="L7"/>
  <c r="K8"/>
  <c r="L8"/>
  <c r="K9"/>
  <c r="L9"/>
  <c r="L3"/>
  <c r="K3"/>
  <c r="D10"/>
  <c r="E10"/>
  <c r="F10"/>
  <c r="G10"/>
  <c r="H10"/>
  <c r="I10"/>
  <c r="J10"/>
  <c r="C10"/>
  <c r="D10" i="27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C10"/>
  <c r="K10" i="30" l="1"/>
  <c r="AP31" i="25"/>
  <c r="AO31"/>
  <c r="L10" i="30"/>
  <c r="AO10" i="32"/>
  <c r="AP10"/>
  <c r="O8" i="33"/>
  <c r="N8"/>
  <c r="AV22" i="8" l="1"/>
  <c r="AU22"/>
  <c r="AD4" i="16" l="1"/>
  <c r="AL4"/>
  <c r="AK4"/>
  <c r="J3" i="9"/>
  <c r="AM14" i="16" l="1"/>
  <c r="AK14"/>
  <c r="AG14"/>
  <c r="AD14"/>
  <c r="AA14"/>
  <c r="R14"/>
  <c r="O14"/>
  <c r="I14"/>
  <c r="F14"/>
  <c r="J13" i="9"/>
  <c r="AV13" i="8"/>
  <c r="AU13"/>
  <c r="J20" i="9" l="1"/>
  <c r="AU14" i="8" l="1"/>
  <c r="AV14"/>
  <c r="E32" i="25" l="1"/>
  <c r="F32"/>
  <c r="G32"/>
  <c r="H32"/>
  <c r="I32"/>
  <c r="J32"/>
  <c r="AA32"/>
  <c r="AB32"/>
  <c r="AC32"/>
  <c r="AD32"/>
  <c r="AE32"/>
  <c r="AF32"/>
  <c r="AG32"/>
  <c r="AH32"/>
  <c r="C32" l="1"/>
  <c r="D32"/>
  <c r="AM13" i="16"/>
  <c r="AV12" i="8"/>
  <c r="AU12"/>
  <c r="AP32" i="25" l="1"/>
  <c r="AO32"/>
  <c r="AV7" i="8"/>
  <c r="AU7"/>
  <c r="AU27" l="1"/>
  <c r="AV24" l="1"/>
  <c r="AU24"/>
  <c r="I30" i="16" l="1"/>
  <c r="AG27"/>
  <c r="AD27"/>
  <c r="AA27"/>
  <c r="R27"/>
  <c r="O27"/>
  <c r="AV21" i="8" l="1"/>
  <c r="O10" i="16" l="1"/>
  <c r="L10"/>
  <c r="AM10"/>
  <c r="AL10"/>
  <c r="AK10"/>
  <c r="AG10"/>
  <c r="AD10"/>
  <c r="AB10"/>
  <c r="R10"/>
  <c r="AM30"/>
  <c r="AK30"/>
  <c r="R30"/>
  <c r="O30"/>
  <c r="AG31" l="1"/>
  <c r="AL31"/>
  <c r="AK31"/>
  <c r="AD31"/>
  <c r="R31"/>
  <c r="O31"/>
  <c r="L31"/>
  <c r="J30" i="9"/>
  <c r="AV30" i="8" l="1"/>
  <c r="AU30"/>
  <c r="F20" i="16" l="1"/>
  <c r="AD20"/>
  <c r="AM20"/>
  <c r="AV23" i="8" l="1"/>
  <c r="AU23"/>
  <c r="AL26" i="16" l="1"/>
  <c r="AK26"/>
  <c r="AD26"/>
  <c r="AB26"/>
  <c r="T26"/>
  <c r="S26"/>
  <c r="AV25" i="8"/>
  <c r="AU25"/>
  <c r="AM17" i="16"/>
  <c r="AV16" i="8"/>
  <c r="AU16"/>
  <c r="AD22" i="16"/>
  <c r="R22"/>
  <c r="O22"/>
  <c r="AU21" i="8"/>
  <c r="AD11" i="16" l="1"/>
  <c r="R11"/>
  <c r="O11"/>
  <c r="L11"/>
  <c r="J11"/>
  <c r="I11"/>
  <c r="AV9" i="8" l="1"/>
  <c r="AU9"/>
  <c r="T9"/>
  <c r="S9"/>
  <c r="N9"/>
  <c r="M9"/>
  <c r="AV26"/>
  <c r="AU26"/>
  <c r="T26"/>
  <c r="S26"/>
  <c r="N26"/>
  <c r="M26"/>
  <c r="L26"/>
  <c r="K26"/>
  <c r="AE27" i="16"/>
  <c r="AB27"/>
  <c r="L27"/>
  <c r="J27"/>
  <c r="I27"/>
  <c r="G27"/>
  <c r="AK27"/>
  <c r="AL27"/>
  <c r="J26" i="9"/>
  <c r="AV28" i="8" l="1"/>
  <c r="AU28"/>
  <c r="AU18" l="1"/>
  <c r="F31" i="16" l="1"/>
  <c r="J8" i="9" l="1"/>
  <c r="J14" l="1"/>
  <c r="J3" i="30" l="1"/>
  <c r="J21" i="9" l="1"/>
  <c r="AM6" i="16" l="1"/>
  <c r="AG6"/>
  <c r="AD6"/>
  <c r="AA6"/>
  <c r="X6"/>
  <c r="U6"/>
  <c r="R6"/>
  <c r="O6"/>
  <c r="L6"/>
  <c r="I6"/>
  <c r="F6"/>
  <c r="J5" i="9"/>
  <c r="AM8" i="16" l="1"/>
  <c r="AG8"/>
  <c r="AD8"/>
  <c r="X8"/>
  <c r="R8"/>
  <c r="J7" i="9"/>
  <c r="AM19" i="16" l="1"/>
  <c r="AA19"/>
  <c r="O19"/>
  <c r="I19"/>
  <c r="F19"/>
  <c r="AV18" i="8"/>
  <c r="AL9" i="16" l="1"/>
  <c r="AK9"/>
  <c r="AM11" l="1"/>
  <c r="AK11"/>
  <c r="AM21" l="1"/>
  <c r="AK21"/>
  <c r="J6" i="9" l="1"/>
  <c r="R7" i="16"/>
  <c r="AG7"/>
  <c r="AD7"/>
  <c r="W18" l="1"/>
  <c r="V18"/>
  <c r="R18"/>
  <c r="P18"/>
  <c r="M18"/>
  <c r="I18"/>
  <c r="G18"/>
  <c r="F18"/>
  <c r="D18"/>
  <c r="AM18"/>
  <c r="AK18"/>
  <c r="AL18"/>
  <c r="AD18"/>
  <c r="AB18"/>
  <c r="O18"/>
  <c r="AQ17" i="8"/>
  <c r="AV17"/>
  <c r="AU17"/>
  <c r="AR17"/>
  <c r="V17"/>
  <c r="U17"/>
  <c r="T17"/>
  <c r="S17"/>
  <c r="N17"/>
  <c r="M17"/>
  <c r="BG6" i="27" l="1"/>
  <c r="BH9"/>
  <c r="BG7"/>
  <c r="BG8"/>
  <c r="BH8"/>
  <c r="BH7"/>
  <c r="BH4"/>
  <c r="BG9"/>
  <c r="BH6"/>
  <c r="BG4"/>
  <c r="BH3"/>
  <c r="BG3"/>
  <c r="AI10"/>
  <c r="BG5"/>
  <c r="BH5" l="1"/>
  <c r="BG10"/>
  <c r="AJ10"/>
  <c r="AM12" i="16"/>
  <c r="AL12"/>
  <c r="AK12"/>
  <c r="AJ12"/>
  <c r="AH12"/>
  <c r="AG12"/>
  <c r="AE12"/>
  <c r="AD12"/>
  <c r="AC12"/>
  <c r="AB12"/>
  <c r="W12"/>
  <c r="V12"/>
  <c r="U12"/>
  <c r="S12"/>
  <c r="R12"/>
  <c r="P12"/>
  <c r="O12"/>
  <c r="N12"/>
  <c r="M12"/>
  <c r="L12"/>
  <c r="K12"/>
  <c r="J12"/>
  <c r="I12"/>
  <c r="G12"/>
  <c r="E12"/>
  <c r="D12"/>
  <c r="BH10" i="27" l="1"/>
  <c r="AU10" i="8"/>
  <c r="AV10"/>
  <c r="J9" i="30" l="1"/>
  <c r="AV9" i="29"/>
  <c r="AU9"/>
  <c r="J7" i="30" l="1"/>
  <c r="AA20" i="16" l="1"/>
  <c r="AL10" i="31"/>
  <c r="AK10"/>
  <c r="C11" i="8"/>
  <c r="J4" i="9"/>
  <c r="AL11" i="8"/>
  <c r="AJ11"/>
  <c r="AF11"/>
  <c r="Z11"/>
  <c r="Y11"/>
  <c r="V11"/>
  <c r="T11"/>
  <c r="R11"/>
  <c r="P11"/>
  <c r="O11"/>
  <c r="L11"/>
  <c r="K11"/>
  <c r="J11"/>
  <c r="I11"/>
  <c r="H11"/>
  <c r="F11"/>
  <c r="D11"/>
  <c r="AE11"/>
  <c r="Q11"/>
  <c r="AI11"/>
  <c r="E11"/>
  <c r="G11"/>
  <c r="S11"/>
  <c r="N11"/>
  <c r="M11"/>
  <c r="U11"/>
  <c r="AK11"/>
</calcChain>
</file>

<file path=xl/sharedStrings.xml><?xml version="1.0" encoding="utf-8"?>
<sst xmlns="http://schemas.openxmlformats.org/spreadsheetml/2006/main" count="1104" uniqueCount="272">
  <si>
    <t>Area in '000 Ha</t>
  </si>
  <si>
    <t>Crops</t>
  </si>
  <si>
    <t>Fruits</t>
  </si>
  <si>
    <t xml:space="preserve">Area </t>
  </si>
  <si>
    <t>Almond</t>
  </si>
  <si>
    <t>Aonla/Gooseberry</t>
  </si>
  <si>
    <t>Apple</t>
  </si>
  <si>
    <t>Banana</t>
  </si>
  <si>
    <t>Ber</t>
  </si>
  <si>
    <t xml:space="preserve">Citrus </t>
  </si>
  <si>
    <t>(i)   Lime/Lemon</t>
  </si>
  <si>
    <t>(ii) Mandarin</t>
  </si>
  <si>
    <t>(iii) Sweet Orange(  Mosambi)</t>
  </si>
  <si>
    <t>Citrus Total (i to iv)</t>
  </si>
  <si>
    <t>Custardapple</t>
  </si>
  <si>
    <t>Grapes</t>
  </si>
  <si>
    <t>Guava</t>
  </si>
  <si>
    <t>Jackfruit</t>
  </si>
  <si>
    <t>Kiwi</t>
  </si>
  <si>
    <t>Litchi</t>
  </si>
  <si>
    <t>Muskmelon</t>
  </si>
  <si>
    <t>Papaya</t>
  </si>
  <si>
    <t>Passion Fruit</t>
  </si>
  <si>
    <t>Peach</t>
  </si>
  <si>
    <t>Pear</t>
  </si>
  <si>
    <t>Picanut</t>
  </si>
  <si>
    <t>Pineapple</t>
  </si>
  <si>
    <t>Plum</t>
  </si>
  <si>
    <t>Pomegranate</t>
  </si>
  <si>
    <t>Sapota</t>
  </si>
  <si>
    <t>Strawberry</t>
  </si>
  <si>
    <t>Walnut</t>
  </si>
  <si>
    <t>Watermelon</t>
  </si>
  <si>
    <t>Total Fruits</t>
  </si>
  <si>
    <t>Vegetables</t>
  </si>
  <si>
    <t>Beans</t>
  </si>
  <si>
    <t>Bittergourd</t>
  </si>
  <si>
    <t>Bottlegourd</t>
  </si>
  <si>
    <t>Brinjal</t>
  </si>
  <si>
    <t>Cabbage</t>
  </si>
  <si>
    <t>Capsicum</t>
  </si>
  <si>
    <t>Carrot</t>
  </si>
  <si>
    <t>Cauliflower</t>
  </si>
  <si>
    <t>Cucumber</t>
  </si>
  <si>
    <t>Chillies (Green)</t>
  </si>
  <si>
    <t>Elephant Foot Yam</t>
  </si>
  <si>
    <t>Okra/Ladyfinger</t>
  </si>
  <si>
    <t>Onion</t>
  </si>
  <si>
    <t>Peas</t>
  </si>
  <si>
    <t>Potato</t>
  </si>
  <si>
    <t>Radish</t>
  </si>
  <si>
    <t>Pumpkin/Sitaphal/Kaddu</t>
  </si>
  <si>
    <t>Sweet Potato</t>
  </si>
  <si>
    <t>Tapioca</t>
  </si>
  <si>
    <t>Total Vegetables</t>
  </si>
  <si>
    <t>Flowers Cut</t>
  </si>
  <si>
    <t>Flowers Loose</t>
  </si>
  <si>
    <t>Total Flowers</t>
  </si>
  <si>
    <t>Honey</t>
  </si>
  <si>
    <t>Plantation Crops</t>
  </si>
  <si>
    <t>Cashewnut</t>
  </si>
  <si>
    <t>Cocoa</t>
  </si>
  <si>
    <t>Total Plantation</t>
  </si>
  <si>
    <t>Spices</t>
  </si>
  <si>
    <t>Cardamom</t>
  </si>
  <si>
    <t>Cinnamon/Tejpata</t>
  </si>
  <si>
    <t>Celery,Dill &amp; Poppy</t>
  </si>
  <si>
    <t>Clove</t>
  </si>
  <si>
    <t>Coriander</t>
  </si>
  <si>
    <t>Cumin</t>
  </si>
  <si>
    <t>Fenugreek</t>
  </si>
  <si>
    <t>Fennel</t>
  </si>
  <si>
    <t>Garlic</t>
  </si>
  <si>
    <t>Nutmeg</t>
  </si>
  <si>
    <t>Vanilla</t>
  </si>
  <si>
    <t>Tamarind</t>
  </si>
  <si>
    <t>Total Spices</t>
  </si>
  <si>
    <t>Total</t>
  </si>
  <si>
    <t>FLOWERS</t>
  </si>
  <si>
    <t>SPICES</t>
  </si>
  <si>
    <t>HONEY</t>
  </si>
  <si>
    <t>LOOSE</t>
  </si>
  <si>
    <t>CUT</t>
  </si>
  <si>
    <t>All India Total</t>
  </si>
  <si>
    <t xml:space="preserve">STATES/UTs </t>
  </si>
  <si>
    <t>ARECANUT</t>
  </si>
  <si>
    <t>CASHEWNUT</t>
  </si>
  <si>
    <t>COCOA</t>
  </si>
  <si>
    <t>COCONUT</t>
  </si>
  <si>
    <t>TOTAL</t>
  </si>
  <si>
    <t>A</t>
  </si>
  <si>
    <t>P</t>
  </si>
  <si>
    <t>ANDHRA PRADESH</t>
  </si>
  <si>
    <t>ARUNACHAL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</si>
  <si>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</si>
  <si>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</si>
  <si>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</si>
  <si>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</si>
  <si>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</si>
  <si>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</si>
  <si>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</si>
  <si>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</si>
  <si>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 xml:space="preserve">KARNATAKA 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</si>
  <si>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</si>
  <si>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</si>
  <si>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</si>
  <si>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</si>
  <si>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</si>
  <si>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</si>
  <si>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</si>
  <si>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</si>
  <si>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</si>
  <si>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</si>
  <si>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</si>
  <si>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</si>
  <si>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</si>
  <si>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</si>
  <si>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</si>
  <si>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</si>
  <si>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</si>
  <si>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Arecanut : Directorate of Arecanut &amp; Spices Development (DASD)</t>
  </si>
  <si>
    <t>Cashewnt : Directorate of Cashewnut &amp; Cocoa Development (DCCD)</t>
  </si>
  <si>
    <t>Cocoa : Directorate of Cashewnut &amp; Cocoa Development (DCCD)</t>
  </si>
  <si>
    <t>Coconut : State Directorate of Horticulture.</t>
  </si>
  <si>
    <t>State/UT</t>
  </si>
  <si>
    <t>Loose</t>
  </si>
  <si>
    <t>Cut</t>
  </si>
  <si>
    <t xml:space="preserve">ARUNACHAL PRADESH </t>
  </si>
  <si>
    <t xml:space="preserve">CHHATTISGARH </t>
  </si>
  <si>
    <t>KARNATAKA</t>
  </si>
  <si>
    <t>CHHATISGARH</t>
  </si>
  <si>
    <t xml:space="preserve">RAJASTHAN </t>
  </si>
  <si>
    <t>ALMOND</t>
  </si>
  <si>
    <t>AONLA/
GOOSEBERRY</t>
  </si>
  <si>
    <t>APPLE</t>
  </si>
  <si>
    <t>BAEL</t>
  </si>
  <si>
    <t>BANANA</t>
  </si>
  <si>
    <t>BER</t>
  </si>
  <si>
    <t>CUSTARD APPLE</t>
  </si>
  <si>
    <t>GRAPES</t>
  </si>
  <si>
    <t>GUAVA</t>
  </si>
  <si>
    <t>JACK FRUIT</t>
  </si>
  <si>
    <t>KIWI</t>
  </si>
  <si>
    <t>LITCHI</t>
  </si>
  <si>
    <t>MANGO</t>
  </si>
  <si>
    <t>PAPAYA</t>
  </si>
  <si>
    <t>PASSION FRUIT</t>
  </si>
  <si>
    <t>TOTAL CITRUS</t>
  </si>
  <si>
    <t>PEACH</t>
  </si>
  <si>
    <t>PEAR</t>
  </si>
  <si>
    <t>PICANUT</t>
  </si>
  <si>
    <t>PINEAPPLE</t>
  </si>
  <si>
    <t>PLUM</t>
  </si>
  <si>
    <t>POMEGRANATE</t>
  </si>
  <si>
    <t>SAPOTA</t>
  </si>
  <si>
    <t>STRAWBERRY</t>
  </si>
  <si>
    <t>WALNUT</t>
  </si>
  <si>
    <t>OTHER FRUITS</t>
  </si>
  <si>
    <t>TOTAL FRUITS</t>
  </si>
  <si>
    <t>LIME/LEMON</t>
  </si>
  <si>
    <t>MANDARIN(M.ORANGE,         KINNOW,ORANGE)</t>
  </si>
  <si>
    <t>SWEET ORANGE(MALTA , MOSAMBI)</t>
  </si>
  <si>
    <t>OTHER CITRUS</t>
  </si>
  <si>
    <t>BEANS</t>
  </si>
  <si>
    <t>BITTERGOURD</t>
  </si>
  <si>
    <t>BOTTLEGOURD</t>
  </si>
  <si>
    <t>BRINJAL</t>
  </si>
  <si>
    <t>CABBAGE</t>
  </si>
  <si>
    <t>CAPSICUM</t>
  </si>
  <si>
    <t>CARROT</t>
  </si>
  <si>
    <t>CAULIFLOWER</t>
  </si>
  <si>
    <t>CUCUMBER</t>
  </si>
  <si>
    <t>CHILLIES 
(GREEN)</t>
  </si>
  <si>
    <t>ELEPHANT 
FOOT YAM</t>
  </si>
  <si>
    <t>MUSKMELON</t>
  </si>
  <si>
    <t>ONION</t>
  </si>
  <si>
    <t>PARWAL/
POINTED GOURD</t>
  </si>
  <si>
    <t>PEAS</t>
  </si>
  <si>
    <t>POTATO</t>
  </si>
  <si>
    <t>RADISH</t>
  </si>
  <si>
    <t>SWEET POTATO</t>
  </si>
  <si>
    <t>TAPIOCA</t>
  </si>
  <si>
    <t>TOMATO</t>
  </si>
  <si>
    <t>WATERMELON</t>
  </si>
  <si>
    <t>MUSHROOM</t>
  </si>
  <si>
    <t>OTHERS</t>
  </si>
  <si>
    <t>ARUNCHAL PRADESH</t>
  </si>
  <si>
    <t xml:space="preserve">JAMMU &amp; KASHMIR </t>
  </si>
  <si>
    <t>CORIANDER</t>
  </si>
  <si>
    <t>CUMIN</t>
  </si>
  <si>
    <t>FENNEL</t>
  </si>
  <si>
    <t>FENUGREEK</t>
  </si>
  <si>
    <t>AJWAN</t>
  </si>
  <si>
    <t>CINNAMON              /TEJPATA</t>
  </si>
  <si>
    <t>NUTMEG</t>
  </si>
  <si>
    <t>CLOVE</t>
  </si>
  <si>
    <t>TAMARIND</t>
  </si>
  <si>
    <t>TURMERIC</t>
  </si>
  <si>
    <t>GARLIC</t>
  </si>
  <si>
    <t>FRUITS</t>
  </si>
  <si>
    <t>VEGETABLES</t>
  </si>
  <si>
    <t>PLANTATION</t>
  </si>
  <si>
    <t>AROMATICS &amp; MEDICINAL</t>
  </si>
  <si>
    <t xml:space="preserve">Source:  </t>
  </si>
  <si>
    <t>ANTHURIUM</t>
  </si>
  <si>
    <t>CARNATION</t>
  </si>
  <si>
    <t>CHRYSANTHEMUM</t>
  </si>
  <si>
    <t>GERBERA</t>
  </si>
  <si>
    <t>GLADIOLUS</t>
  </si>
  <si>
    <t>JASMINE</t>
  </si>
  <si>
    <t xml:space="preserve">MARIGOLD         </t>
  </si>
  <si>
    <t xml:space="preserve">ORCHIDS             </t>
  </si>
  <si>
    <t>ROSE</t>
  </si>
  <si>
    <t>TUBE ROSE</t>
  </si>
  <si>
    <t>TULIP</t>
  </si>
  <si>
    <t>OTHER FLOWERS</t>
  </si>
  <si>
    <t xml:space="preserve">TOTAL </t>
  </si>
  <si>
    <t>CARDAMOM</t>
  </si>
  <si>
    <t>GINGER</t>
  </si>
  <si>
    <t>Sl. No.</t>
  </si>
  <si>
    <t xml:space="preserve">Sl. No. </t>
  </si>
  <si>
    <t>Production</t>
  </si>
  <si>
    <t>ANDAMAN NICOBAR</t>
  </si>
  <si>
    <t>D &amp; N HAVELI</t>
  </si>
  <si>
    <t>DAMAN &amp; DIU</t>
  </si>
  <si>
    <t>DELHI</t>
  </si>
  <si>
    <t>GOA</t>
  </si>
  <si>
    <t>PUDUCHERRY</t>
  </si>
  <si>
    <t xml:space="preserve"> </t>
  </si>
  <si>
    <t xml:space="preserve">                             </t>
  </si>
  <si>
    <t>Ajwain</t>
  </si>
  <si>
    <t>Aromatics and Medicinal</t>
  </si>
  <si>
    <t>Mint (Mentha)</t>
  </si>
  <si>
    <t xml:space="preserve">                   </t>
  </si>
  <si>
    <t xml:space="preserve">     </t>
  </si>
  <si>
    <t>.</t>
  </si>
  <si>
    <t>OKRA/                      LADYFINGER</t>
  </si>
  <si>
    <t>SITAPHAL/              PUMPKIN</t>
  </si>
  <si>
    <t>MINT                        (MENTHA)*</t>
  </si>
  <si>
    <t>DILL/POPPY/           CELERY</t>
  </si>
  <si>
    <t>Parwal/Pointedgourd</t>
  </si>
  <si>
    <t>LAKSHADWEEP</t>
  </si>
  <si>
    <t>All Indin (UTs)</t>
  </si>
  <si>
    <t xml:space="preserve">    VANILLA</t>
  </si>
  <si>
    <t>VANILLA</t>
  </si>
  <si>
    <t xml:space="preserve">SAFFRON       </t>
  </si>
  <si>
    <t>Saffron</t>
  </si>
  <si>
    <t>Turmeric</t>
  </si>
  <si>
    <t>Ginger</t>
  </si>
  <si>
    <t xml:space="preserve">Mushroom </t>
  </si>
  <si>
    <t xml:space="preserve">           </t>
  </si>
  <si>
    <t xml:space="preserve"> Category-wise : All India</t>
  </si>
  <si>
    <t>BLACK PEPPER</t>
  </si>
  <si>
    <t>RED CHILLIES</t>
  </si>
  <si>
    <t>Arecanut</t>
  </si>
  <si>
    <t>Production in '000 MT</t>
  </si>
  <si>
    <t>2021-22</t>
  </si>
  <si>
    <t>(First Advance Estimate)</t>
  </si>
  <si>
    <t>Black Pepper</t>
  </si>
  <si>
    <t>(iv) Other Citrus</t>
  </si>
  <si>
    <t>Mango</t>
  </si>
  <si>
    <t>Other Fruits</t>
  </si>
  <si>
    <t>Tomato</t>
  </si>
  <si>
    <t>Other Vegetables</t>
  </si>
  <si>
    <t>Coconut</t>
  </si>
  <si>
    <t>2020-21</t>
  </si>
  <si>
    <t xml:space="preserve">Final </t>
  </si>
  <si>
    <t xml:space="preserve"> 2021-22 (Second Advance Estimates) of Area and Production of Horticultue Crops </t>
  </si>
  <si>
    <t>(Second Advance Estimate)</t>
  </si>
  <si>
    <t>Red Chillies (Dried)</t>
  </si>
  <si>
    <t>RED CHILLIES (Dried)</t>
  </si>
  <si>
    <t>SITAPHAL/ PUMPKIN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</si>
</sst>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24">
    <font>
      <sz val="11"/>
      <color theme="1"/>
      <name val="Cambria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mbria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u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2">
    <xf numFmtId="0" fontId="0" fillId="0" borderId="0" xfId="0"/>
    <xf numFmtId="2" fontId="4" fillId="2" borderId="1" xfId="2" applyNumberFormat="1" applyFont="1" applyFill="1" applyBorder="1" applyAlignment="1">
      <alignment readingOrder="1"/>
    </xf>
    <xf numFmtId="2" fontId="4" fillId="2" borderId="1" xfId="0" applyNumberFormat="1" applyFont="1" applyFill="1" applyBorder="1" applyAlignment="1">
      <alignment readingOrder="1"/>
    </xf>
    <xf numFmtId="2" fontId="4" fillId="2" borderId="1" xfId="0" applyNumberFormat="1" applyFont="1" applyFill="1" applyBorder="1"/>
    <xf numFmtId="2" fontId="4" fillId="2" borderId="1" xfId="0" applyNumberFormat="1" applyFont="1" applyFill="1" applyBorder="1" applyAlignment="1"/>
    <xf numFmtId="2" fontId="5" fillId="2" borderId="1" xfId="0" applyNumberFormat="1" applyFont="1" applyFill="1" applyBorder="1"/>
    <xf numFmtId="2" fontId="4" fillId="2" borderId="0" xfId="0" applyNumberFormat="1" applyFont="1" applyFill="1"/>
    <xf numFmtId="2" fontId="5" fillId="2" borderId="1" xfId="2" applyNumberFormat="1" applyFont="1" applyFill="1" applyBorder="1" applyAlignment="1">
      <alignment readingOrder="1"/>
    </xf>
    <xf numFmtId="2" fontId="4" fillId="2" borderId="1" xfId="2" applyNumberFormat="1" applyFont="1" applyFill="1" applyBorder="1" applyAlignment="1" applyProtection="1">
      <alignment horizontal="right" vertical="center" readingOrder="1"/>
      <protection locked="0"/>
    </xf>
    <xf numFmtId="2" fontId="5" fillId="2" borderId="1" xfId="2" applyNumberFormat="1" applyFont="1" applyFill="1" applyBorder="1" applyAlignment="1" applyProtection="1">
      <alignment horizontal="right" vertical="top" readingOrder="1"/>
      <protection locked="0"/>
    </xf>
    <xf numFmtId="2" fontId="4" fillId="2" borderId="1" xfId="7" applyNumberFormat="1" applyFont="1" applyFill="1" applyBorder="1"/>
    <xf numFmtId="2" fontId="5" fillId="2" borderId="1" xfId="7" applyNumberFormat="1" applyFont="1" applyFill="1" applyBorder="1"/>
    <xf numFmtId="0" fontId="4" fillId="2" borderId="0" xfId="0" applyFont="1" applyFill="1"/>
    <xf numFmtId="2" fontId="5" fillId="2" borderId="1" xfId="0" applyNumberFormat="1" applyFont="1" applyFill="1" applyBorder="1" applyAlignment="1" applyProtection="1">
      <alignment horizontal="center" readingOrder="1"/>
      <protection locked="0"/>
    </xf>
    <xf numFmtId="0" fontId="4" fillId="2" borderId="1" xfId="0" applyFont="1" applyFill="1" applyBorder="1"/>
    <xf numFmtId="2" fontId="5" fillId="2" borderId="1" xfId="0" applyNumberFormat="1" applyFont="1" applyFill="1" applyBorder="1" applyAlignment="1" applyProtection="1">
      <alignment horizontal="center" vertical="center" readingOrder="1"/>
      <protection locked="0"/>
    </xf>
    <xf numFmtId="2" fontId="5" fillId="2" borderId="0" xfId="18" applyNumberFormat="1" applyFont="1" applyFill="1" applyBorder="1"/>
    <xf numFmtId="2" fontId="4" fillId="2" borderId="0" xfId="0" applyNumberFormat="1" applyFont="1" applyFill="1" applyBorder="1"/>
    <xf numFmtId="165" fontId="4" fillId="2" borderId="0" xfId="0" applyNumberFormat="1" applyFont="1" applyFill="1" applyBorder="1"/>
    <xf numFmtId="164" fontId="4" fillId="2" borderId="0" xfId="0" applyNumberFormat="1" applyFont="1" applyFill="1"/>
    <xf numFmtId="2" fontId="5" fillId="2" borderId="0" xfId="2" applyNumberFormat="1" applyFont="1" applyFill="1" applyBorder="1" applyAlignment="1" applyProtection="1">
      <alignment vertical="top" readingOrder="1"/>
      <protection locked="0"/>
    </xf>
    <xf numFmtId="164" fontId="4" fillId="2" borderId="0" xfId="0" applyNumberFormat="1" applyFont="1" applyFill="1" applyBorder="1"/>
    <xf numFmtId="2" fontId="5" fillId="2" borderId="0" xfId="2" applyNumberFormat="1" applyFont="1" applyFill="1" applyAlignment="1">
      <alignment horizontal="center" vertical="center" readingOrder="1"/>
    </xf>
    <xf numFmtId="1" fontId="5" fillId="2" borderId="1" xfId="2" applyNumberFormat="1" applyFont="1" applyFill="1" applyBorder="1" applyAlignment="1">
      <alignment horizontal="center" readingOrder="1"/>
    </xf>
    <xf numFmtId="2" fontId="4" fillId="2" borderId="0" xfId="2" applyNumberFormat="1" applyFont="1" applyFill="1" applyAlignment="1">
      <alignment readingOrder="1"/>
    </xf>
    <xf numFmtId="2" fontId="5" fillId="2" borderId="1" xfId="2" applyNumberFormat="1" applyFont="1" applyFill="1" applyBorder="1"/>
    <xf numFmtId="2" fontId="5" fillId="2" borderId="1" xfId="7" applyNumberFormat="1" applyFont="1" applyFill="1" applyBorder="1" applyAlignment="1">
      <alignment horizontal="center"/>
    </xf>
    <xf numFmtId="2" fontId="4" fillId="2" borderId="0" xfId="7" applyNumberFormat="1" applyFont="1" applyFill="1"/>
    <xf numFmtId="2" fontId="5" fillId="2" borderId="1" xfId="2" applyNumberFormat="1" applyFont="1" applyFill="1" applyBorder="1" applyAlignment="1">
      <alignment horizontal="center"/>
    </xf>
    <xf numFmtId="1" fontId="5" fillId="2" borderId="1" xfId="7" applyNumberFormat="1" applyFont="1" applyFill="1" applyBorder="1"/>
    <xf numFmtId="165" fontId="4" fillId="2" borderId="0" xfId="7" applyNumberFormat="1" applyFont="1" applyFill="1"/>
    <xf numFmtId="2" fontId="4" fillId="2" borderId="1" xfId="2" applyNumberFormat="1" applyFont="1" applyFill="1" applyBorder="1" applyAlignment="1">
      <alignment horizontal="center" readingOrder="1"/>
    </xf>
    <xf numFmtId="2" fontId="4" fillId="2" borderId="0" xfId="2" applyNumberFormat="1" applyFont="1" applyFill="1" applyAlignment="1">
      <alignment horizontal="center" readingOrder="1"/>
    </xf>
    <xf numFmtId="2" fontId="4" fillId="2" borderId="1" xfId="2" applyNumberFormat="1" applyFont="1" applyFill="1" applyBorder="1" applyAlignment="1">
      <alignment vertical="center" readingOrder="1"/>
    </xf>
    <xf numFmtId="2" fontId="8" fillId="2" borderId="12" xfId="2" applyNumberFormat="1" applyFont="1" applyFill="1" applyBorder="1" applyAlignment="1">
      <alignment vertical="center" wrapText="1"/>
    </xf>
    <xf numFmtId="2" fontId="8" fillId="2" borderId="12" xfId="2" applyNumberFormat="1" applyFont="1" applyFill="1" applyBorder="1" applyAlignment="1">
      <alignment vertical="center"/>
    </xf>
    <xf numFmtId="2" fontId="8" fillId="2" borderId="12" xfId="18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2" fontId="5" fillId="2" borderId="1" xfId="2" applyNumberFormat="1" applyFont="1" applyFill="1" applyBorder="1" applyAlignment="1" applyProtection="1">
      <alignment vertical="center" readingOrder="1"/>
      <protection locked="0"/>
    </xf>
    <xf numFmtId="2" fontId="5" fillId="2" borderId="1" xfId="2" applyNumberFormat="1" applyFont="1" applyFill="1" applyBorder="1" applyAlignment="1" applyProtection="1">
      <alignment horizontal="right" vertical="center" readingOrder="1"/>
      <protection locked="0"/>
    </xf>
    <xf numFmtId="2" fontId="4" fillId="2" borderId="1" xfId="2" applyNumberFormat="1" applyFont="1" applyFill="1" applyBorder="1" applyAlignment="1" applyProtection="1">
      <alignment horizontal="right" readingOrder="1"/>
      <protection locked="0"/>
    </xf>
    <xf numFmtId="2" fontId="8" fillId="2" borderId="1" xfId="18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" xfId="2" applyFont="1" applyFill="1" applyBorder="1" applyAlignment="1" applyProtection="1">
      <alignment horizontal="center" vertical="center" readingOrder="1"/>
      <protection locked="0"/>
    </xf>
    <xf numFmtId="0" fontId="5" fillId="2" borderId="1" xfId="2" applyFont="1" applyFill="1" applyBorder="1" applyAlignment="1" applyProtection="1">
      <alignment horizontal="center" readingOrder="1"/>
      <protection locked="0"/>
    </xf>
    <xf numFmtId="0" fontId="17" fillId="2" borderId="0" xfId="0" applyFont="1" applyFill="1"/>
    <xf numFmtId="1" fontId="18" fillId="2" borderId="1" xfId="28" applyNumberFormat="1" applyFont="1" applyFill="1" applyBorder="1" applyAlignment="1"/>
    <xf numFmtId="1" fontId="18" fillId="2" borderId="1" xfId="28" applyNumberFormat="1" applyFont="1" applyFill="1" applyBorder="1" applyAlignment="1">
      <alignment vertical="center"/>
    </xf>
    <xf numFmtId="1" fontId="19" fillId="2" borderId="1" xfId="28" applyNumberFormat="1" applyFont="1" applyFill="1" applyBorder="1" applyAlignment="1">
      <alignment vertical="center"/>
    </xf>
    <xf numFmtId="0" fontId="18" fillId="2" borderId="1" xfId="28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1" fontId="17" fillId="2" borderId="1" xfId="0" applyNumberFormat="1" applyFont="1" applyFill="1" applyBorder="1" applyAlignment="1">
      <alignment horizontal="right"/>
    </xf>
    <xf numFmtId="0" fontId="16" fillId="2" borderId="1" xfId="0" applyFont="1" applyFill="1" applyBorder="1"/>
    <xf numFmtId="1" fontId="20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0" fontId="17" fillId="2" borderId="0" xfId="0" applyFont="1" applyFill="1" applyBorder="1"/>
    <xf numFmtId="0" fontId="20" fillId="2" borderId="0" xfId="0" applyFont="1" applyFill="1" applyBorder="1" applyAlignment="1"/>
    <xf numFmtId="1" fontId="17" fillId="2" borderId="0" xfId="0" applyNumberFormat="1" applyFont="1" applyFill="1"/>
    <xf numFmtId="0" fontId="21" fillId="2" borderId="0" xfId="0" applyFont="1" applyFill="1"/>
    <xf numFmtId="2" fontId="18" fillId="2" borderId="1" xfId="0" applyNumberFormat="1" applyFont="1" applyFill="1" applyBorder="1" applyAlignment="1" applyProtection="1">
      <alignment horizontal="center" readingOrder="1"/>
      <protection locked="0"/>
    </xf>
    <xf numFmtId="0" fontId="21" fillId="2" borderId="1" xfId="0" applyFont="1" applyFill="1" applyBorder="1"/>
    <xf numFmtId="2" fontId="18" fillId="2" borderId="1" xfId="0" applyNumberFormat="1" applyFont="1" applyFill="1" applyBorder="1" applyAlignment="1" applyProtection="1">
      <alignment horizontal="center" vertical="center" readingOrder="1"/>
      <protection locked="0"/>
    </xf>
    <xf numFmtId="0" fontId="18" fillId="2" borderId="1" xfId="0" applyFont="1" applyFill="1" applyBorder="1"/>
    <xf numFmtId="165" fontId="18" fillId="2" borderId="1" xfId="2" applyNumberFormat="1" applyFont="1" applyFill="1" applyBorder="1"/>
    <xf numFmtId="2" fontId="21" fillId="2" borderId="1" xfId="2" applyNumberFormat="1" applyFont="1" applyFill="1" applyBorder="1" applyAlignment="1">
      <alignment readingOrder="1"/>
    </xf>
    <xf numFmtId="2" fontId="21" fillId="2" borderId="1" xfId="0" applyNumberFormat="1" applyFont="1" applyFill="1" applyBorder="1" applyAlignment="1">
      <alignment readingOrder="1"/>
    </xf>
    <xf numFmtId="2" fontId="21" fillId="2" borderId="1" xfId="0" applyNumberFormat="1" applyFont="1" applyFill="1" applyBorder="1"/>
    <xf numFmtId="2" fontId="18" fillId="2" borderId="1" xfId="0" applyNumberFormat="1" applyFont="1" applyFill="1" applyBorder="1"/>
    <xf numFmtId="165" fontId="18" fillId="2" borderId="1" xfId="29" applyNumberFormat="1" applyFont="1" applyFill="1" applyBorder="1"/>
    <xf numFmtId="2" fontId="18" fillId="2" borderId="1" xfId="2" applyNumberFormat="1" applyFont="1" applyFill="1" applyBorder="1" applyAlignment="1">
      <alignment readingOrder="1"/>
    </xf>
    <xf numFmtId="2" fontId="18" fillId="2" borderId="1" xfId="2" applyNumberFormat="1" applyFont="1" applyFill="1" applyBorder="1" applyAlignment="1" applyProtection="1">
      <alignment readingOrder="1"/>
      <protection locked="0"/>
    </xf>
    <xf numFmtId="2" fontId="21" fillId="2" borderId="0" xfId="0" applyNumberFormat="1" applyFont="1" applyFill="1"/>
    <xf numFmtId="2" fontId="18" fillId="2" borderId="0" xfId="18" applyNumberFormat="1" applyFont="1" applyFill="1" applyBorder="1"/>
    <xf numFmtId="2" fontId="21" fillId="2" borderId="0" xfId="0" applyNumberFormat="1" applyFont="1" applyFill="1" applyBorder="1"/>
    <xf numFmtId="165" fontId="21" fillId="2" borderId="0" xfId="0" applyNumberFormat="1" applyFont="1" applyFill="1" applyBorder="1"/>
    <xf numFmtId="2" fontId="18" fillId="2" borderId="0" xfId="2" applyNumberFormat="1" applyFont="1" applyFill="1" applyBorder="1" applyAlignment="1" applyProtection="1">
      <alignment vertical="top" readingOrder="1"/>
      <protection locked="0"/>
    </xf>
    <xf numFmtId="164" fontId="21" fillId="2" borderId="0" xfId="0" applyNumberFormat="1" applyFont="1" applyFill="1" applyBorder="1"/>
    <xf numFmtId="164" fontId="21" fillId="2" borderId="0" xfId="0" applyNumberFormat="1" applyFont="1" applyFill="1"/>
    <xf numFmtId="2" fontId="18" fillId="2" borderId="1" xfId="2" applyNumberFormat="1" applyFont="1" applyFill="1" applyBorder="1"/>
    <xf numFmtId="1" fontId="17" fillId="2" borderId="0" xfId="0" applyNumberFormat="1" applyFont="1" applyFill="1" applyBorder="1"/>
    <xf numFmtId="2" fontId="5" fillId="2" borderId="1" xfId="2" applyNumberFormat="1" applyFont="1" applyFill="1" applyBorder="1" applyAlignment="1" applyProtection="1">
      <alignment horizontal="center" vertical="center" readingOrder="1"/>
      <protection locked="0"/>
    </xf>
    <xf numFmtId="2" fontId="5" fillId="2" borderId="1" xfId="7" applyNumberFormat="1" applyFont="1" applyFill="1" applyBorder="1" applyAlignment="1">
      <alignment horizontal="center" vertical="center"/>
    </xf>
    <xf numFmtId="2" fontId="5" fillId="2" borderId="1" xfId="7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/>
    <xf numFmtId="165" fontId="18" fillId="2" borderId="1" xfId="18" applyNumberFormat="1" applyFont="1" applyFill="1" applyBorder="1"/>
    <xf numFmtId="1" fontId="18" fillId="2" borderId="1" xfId="0" applyNumberFormat="1" applyFont="1" applyFill="1" applyBorder="1"/>
    <xf numFmtId="165" fontId="18" fillId="2" borderId="1" xfId="26" applyNumberFormat="1" applyFont="1" applyFill="1" applyBorder="1" applyAlignment="1"/>
    <xf numFmtId="0" fontId="18" fillId="2" borderId="1" xfId="0" applyFont="1" applyFill="1" applyBorder="1" applyAlignment="1">
      <alignment horizontal="center"/>
    </xf>
    <xf numFmtId="0" fontId="18" fillId="2" borderId="1" xfId="2" applyFont="1" applyFill="1" applyBorder="1" applyAlignment="1" applyProtection="1">
      <alignment horizontal="center" vertical="center" readingOrder="1"/>
      <protection locked="0"/>
    </xf>
    <xf numFmtId="0" fontId="18" fillId="2" borderId="1" xfId="2" applyFont="1" applyFill="1" applyBorder="1" applyAlignment="1" applyProtection="1">
      <alignment horizontal="center" readingOrder="1"/>
      <protection locked="0"/>
    </xf>
    <xf numFmtId="0" fontId="18" fillId="2" borderId="1" xfId="0" applyFont="1" applyFill="1" applyBorder="1" applyAlignment="1">
      <alignment horizontal="center" vertical="center" readingOrder="1"/>
    </xf>
    <xf numFmtId="2" fontId="21" fillId="0" borderId="1" xfId="2" applyNumberFormat="1" applyFont="1" applyFill="1" applyBorder="1" applyAlignment="1" applyProtection="1">
      <alignment horizontal="right" vertical="center" readingOrder="1"/>
      <protection locked="0"/>
    </xf>
    <xf numFmtId="2" fontId="18" fillId="0" borderId="1" xfId="2" applyNumberFormat="1" applyFont="1" applyFill="1" applyBorder="1" applyAlignment="1" applyProtection="1">
      <alignment horizontal="center" vertical="center" readingOrder="1"/>
      <protection locked="0"/>
    </xf>
    <xf numFmtId="2" fontId="18" fillId="0" borderId="0" xfId="2" applyNumberFormat="1" applyFont="1" applyFill="1" applyAlignment="1">
      <alignment horizontal="center" vertical="center" readingOrder="1"/>
    </xf>
    <xf numFmtId="1" fontId="18" fillId="0" borderId="1" xfId="2" applyNumberFormat="1" applyFont="1" applyFill="1" applyBorder="1" applyAlignment="1">
      <alignment horizontal="center" readingOrder="1"/>
    </xf>
    <xf numFmtId="2" fontId="18" fillId="0" borderId="1" xfId="2" applyNumberFormat="1" applyFont="1" applyFill="1" applyBorder="1"/>
    <xf numFmtId="2" fontId="18" fillId="0" borderId="1" xfId="2" applyNumberFormat="1" applyFont="1" applyFill="1" applyBorder="1" applyAlignment="1" applyProtection="1">
      <alignment horizontal="right" vertical="center" readingOrder="1"/>
      <protection locked="0"/>
    </xf>
    <xf numFmtId="2" fontId="21" fillId="0" borderId="0" xfId="2" applyNumberFormat="1" applyFont="1" applyFill="1" applyAlignment="1">
      <alignment readingOrder="1"/>
    </xf>
    <xf numFmtId="2" fontId="18" fillId="0" borderId="1" xfId="18" applyNumberFormat="1" applyFont="1" applyFill="1" applyBorder="1"/>
    <xf numFmtId="2" fontId="22" fillId="0" borderId="1" xfId="2" applyNumberFormat="1" applyFont="1" applyFill="1" applyBorder="1" applyAlignment="1" applyProtection="1">
      <alignment horizontal="right" vertical="center" readingOrder="1"/>
      <protection locked="0"/>
    </xf>
    <xf numFmtId="2" fontId="21" fillId="0" borderId="1" xfId="2" applyNumberFormat="1" applyFont="1" applyFill="1" applyBorder="1" applyAlignment="1">
      <alignment vertical="center" readingOrder="1"/>
    </xf>
    <xf numFmtId="2" fontId="21" fillId="0" borderId="1" xfId="2" applyNumberFormat="1" applyFont="1" applyFill="1" applyBorder="1" applyAlignment="1">
      <alignment horizontal="right"/>
    </xf>
    <xf numFmtId="2" fontId="21" fillId="0" borderId="1" xfId="2" applyNumberFormat="1" applyFont="1" applyFill="1" applyBorder="1"/>
    <xf numFmtId="2" fontId="21" fillId="0" borderId="1" xfId="2" applyNumberFormat="1" applyFont="1" applyFill="1" applyBorder="1" applyAlignment="1">
      <alignment readingOrder="1"/>
    </xf>
    <xf numFmtId="2" fontId="18" fillId="0" borderId="1" xfId="2" applyNumberFormat="1" applyFont="1" applyFill="1" applyBorder="1" applyAlignment="1"/>
    <xf numFmtId="2" fontId="21" fillId="0" borderId="1" xfId="2" applyNumberFormat="1" applyFont="1" applyFill="1" applyBorder="1" applyAlignment="1" applyProtection="1">
      <alignment horizontal="right" readingOrder="1"/>
      <protection locked="0"/>
    </xf>
    <xf numFmtId="2" fontId="21" fillId="0" borderId="1" xfId="0" applyNumberFormat="1" applyFont="1" applyFill="1" applyBorder="1" applyAlignment="1"/>
    <xf numFmtId="2" fontId="18" fillId="0" borderId="1" xfId="29" applyNumberFormat="1" applyFont="1" applyFill="1" applyBorder="1"/>
    <xf numFmtId="2" fontId="18" fillId="0" borderId="1" xfId="26" applyNumberFormat="1" applyFont="1" applyFill="1" applyBorder="1" applyAlignment="1"/>
    <xf numFmtId="166" fontId="21" fillId="0" borderId="1" xfId="2" applyNumberFormat="1" applyFont="1" applyFill="1" applyBorder="1" applyAlignment="1" applyProtection="1">
      <alignment horizontal="right" vertical="center" readingOrder="1"/>
      <protection locked="0"/>
    </xf>
    <xf numFmtId="2" fontId="21" fillId="0" borderId="1" xfId="0" applyNumberFormat="1" applyFont="1" applyFill="1" applyBorder="1" applyAlignment="1">
      <alignment horizontal="right"/>
    </xf>
    <xf numFmtId="2" fontId="21" fillId="0" borderId="1" xfId="2" applyNumberFormat="1" applyFont="1" applyFill="1" applyBorder="1" applyAlignment="1">
      <alignment horizontal="center" readingOrder="1"/>
    </xf>
    <xf numFmtId="2" fontId="18" fillId="0" borderId="1" xfId="2" applyNumberFormat="1" applyFont="1" applyFill="1" applyBorder="1" applyAlignment="1" applyProtection="1">
      <alignment horizontal="right" vertical="top" readingOrder="1"/>
      <protection locked="0"/>
    </xf>
    <xf numFmtId="2" fontId="21" fillId="0" borderId="0" xfId="2" applyNumberFormat="1" applyFont="1" applyFill="1" applyAlignment="1">
      <alignment horizontal="center" readingOrder="1"/>
    </xf>
    <xf numFmtId="167" fontId="21" fillId="0" borderId="0" xfId="2" applyNumberFormat="1" applyFont="1" applyFill="1" applyAlignment="1">
      <alignment readingOrder="1"/>
    </xf>
    <xf numFmtId="2" fontId="18" fillId="0" borderId="1" xfId="7" applyNumberFormat="1" applyFont="1" applyFill="1" applyBorder="1" applyAlignment="1">
      <alignment horizontal="center" vertical="center" wrapText="1"/>
    </xf>
    <xf numFmtId="2" fontId="18" fillId="0" borderId="1" xfId="7" applyNumberFormat="1" applyFont="1" applyFill="1" applyBorder="1" applyAlignment="1">
      <alignment horizontal="center" vertical="center"/>
    </xf>
    <xf numFmtId="2" fontId="21" fillId="0" borderId="0" xfId="7" applyNumberFormat="1" applyFont="1" applyFill="1"/>
    <xf numFmtId="2" fontId="21" fillId="0" borderId="1" xfId="7" applyNumberFormat="1" applyFont="1" applyFill="1" applyBorder="1"/>
    <xf numFmtId="2" fontId="18" fillId="0" borderId="1" xfId="2" applyNumberFormat="1" applyFont="1" applyFill="1" applyBorder="1" applyAlignment="1">
      <alignment horizontal="center"/>
    </xf>
    <xf numFmtId="2" fontId="18" fillId="0" borderId="1" xfId="7" applyNumberFormat="1" applyFont="1" applyFill="1" applyBorder="1" applyAlignment="1">
      <alignment horizontal="center"/>
    </xf>
    <xf numFmtId="1" fontId="18" fillId="0" borderId="1" xfId="7" applyNumberFormat="1" applyFont="1" applyFill="1" applyBorder="1"/>
    <xf numFmtId="2" fontId="18" fillId="0" borderId="1" xfId="7" applyNumberFormat="1" applyFont="1" applyFill="1" applyBorder="1"/>
    <xf numFmtId="165" fontId="21" fillId="0" borderId="0" xfId="7" applyNumberFormat="1" applyFont="1" applyFill="1"/>
    <xf numFmtId="2" fontId="18" fillId="0" borderId="1" xfId="0" applyNumberFormat="1" applyFont="1" applyFill="1" applyBorder="1" applyAlignment="1">
      <alignment horizontal="center" vertical="center" wrapText="1" readingOrder="1"/>
    </xf>
    <xf numFmtId="2" fontId="18" fillId="0" borderId="1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readingOrder="1"/>
    </xf>
    <xf numFmtId="2" fontId="21" fillId="0" borderId="0" xfId="0" applyNumberFormat="1" applyFont="1" applyFill="1" applyAlignment="1">
      <alignment vertical="center" wrapText="1" readingOrder="1"/>
    </xf>
    <xf numFmtId="2" fontId="18" fillId="0" borderId="1" xfId="0" applyNumberFormat="1" applyFont="1" applyFill="1" applyBorder="1" applyAlignment="1">
      <alignment vertical="center" readingOrder="1"/>
    </xf>
    <xf numFmtId="2" fontId="18" fillId="0" borderId="1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 vertical="center" readingOrder="1"/>
    </xf>
    <xf numFmtId="1" fontId="18" fillId="0" borderId="1" xfId="0" applyNumberFormat="1" applyFont="1" applyFill="1" applyBorder="1" applyAlignment="1">
      <alignment readingOrder="1"/>
    </xf>
    <xf numFmtId="2" fontId="21" fillId="0" borderId="1" xfId="0" applyNumberFormat="1" applyFont="1" applyFill="1" applyBorder="1"/>
    <xf numFmtId="2" fontId="17" fillId="0" borderId="1" xfId="0" applyNumberFormat="1" applyFont="1" applyFill="1" applyBorder="1"/>
    <xf numFmtId="2" fontId="18" fillId="0" borderId="1" xfId="0" applyNumberFormat="1" applyFont="1" applyFill="1" applyBorder="1"/>
    <xf numFmtId="2" fontId="21" fillId="0" borderId="1" xfId="0" applyNumberFormat="1" applyFont="1" applyFill="1" applyBorder="1" applyAlignment="1">
      <alignment readingOrder="1"/>
    </xf>
    <xf numFmtId="2" fontId="21" fillId="0" borderId="1" xfId="0" applyNumberFormat="1" applyFont="1" applyFill="1" applyBorder="1" applyAlignment="1">
      <alignment horizontal="right" readingOrder="1"/>
    </xf>
    <xf numFmtId="2" fontId="21" fillId="0" borderId="0" xfId="0" applyNumberFormat="1" applyFont="1" applyFill="1" applyAlignment="1"/>
    <xf numFmtId="2" fontId="21" fillId="0" borderId="0" xfId="0" applyNumberFormat="1" applyFont="1" applyFill="1"/>
    <xf numFmtId="2" fontId="17" fillId="0" borderId="1" xfId="0" applyNumberFormat="1" applyFont="1" applyFill="1" applyBorder="1" applyAlignment="1">
      <alignment horizontal="right"/>
    </xf>
    <xf numFmtId="166" fontId="21" fillId="0" borderId="1" xfId="0" applyNumberFormat="1" applyFont="1" applyFill="1" applyBorder="1"/>
    <xf numFmtId="2" fontId="21" fillId="0" borderId="0" xfId="0" applyNumberFormat="1" applyFont="1" applyFill="1" applyBorder="1" applyAlignment="1"/>
    <xf numFmtId="2" fontId="18" fillId="0" borderId="0" xfId="0" applyNumberFormat="1" applyFont="1" applyFill="1" applyBorder="1" applyAlignment="1">
      <alignment readingOrder="1"/>
    </xf>
    <xf numFmtId="2" fontId="18" fillId="0" borderId="1" xfId="0" applyNumberFormat="1" applyFont="1" applyFill="1" applyBorder="1" applyAlignment="1">
      <alignment readingOrder="1"/>
    </xf>
    <xf numFmtId="166" fontId="21" fillId="0" borderId="0" xfId="0" applyNumberFormat="1" applyFont="1" applyFill="1" applyAlignment="1">
      <alignment readingOrder="1"/>
    </xf>
    <xf numFmtId="2" fontId="18" fillId="0" borderId="1" xfId="11" applyNumberFormat="1" applyFont="1" applyFill="1" applyBorder="1" applyAlignment="1">
      <alignment horizontal="center" vertical="center"/>
    </xf>
    <xf numFmtId="2" fontId="21" fillId="0" borderId="0" xfId="11" applyNumberFormat="1" applyFont="1" applyFill="1"/>
    <xf numFmtId="2" fontId="21" fillId="0" borderId="1" xfId="11" applyNumberFormat="1" applyFont="1" applyFill="1" applyBorder="1"/>
    <xf numFmtId="2" fontId="18" fillId="0" borderId="1" xfId="11" applyNumberFormat="1" applyFont="1" applyFill="1" applyBorder="1" applyAlignment="1">
      <alignment horizontal="center"/>
    </xf>
    <xf numFmtId="1" fontId="18" fillId="0" borderId="1" xfId="11" applyNumberFormat="1" applyFont="1" applyFill="1" applyBorder="1"/>
    <xf numFmtId="2" fontId="23" fillId="0" borderId="1" xfId="0" applyNumberFormat="1" applyFont="1" applyFill="1" applyBorder="1" applyAlignment="1">
      <alignment horizontal="right"/>
    </xf>
    <xf numFmtId="2" fontId="18" fillId="0" borderId="1" xfId="11" applyNumberFormat="1" applyFont="1" applyFill="1" applyBorder="1"/>
    <xf numFmtId="165" fontId="21" fillId="0" borderId="1" xfId="11" applyNumberFormat="1" applyFont="1" applyFill="1" applyBorder="1"/>
    <xf numFmtId="2" fontId="18" fillId="0" borderId="0" xfId="11" applyNumberFormat="1" applyFont="1" applyFill="1"/>
    <xf numFmtId="2" fontId="18" fillId="0" borderId="1" xfId="11" applyNumberFormat="1" applyFont="1" applyFill="1" applyBorder="1" applyAlignment="1"/>
    <xf numFmtId="2" fontId="19" fillId="0" borderId="10" xfId="11" applyNumberFormat="1" applyFont="1" applyFill="1" applyBorder="1" applyAlignment="1"/>
    <xf numFmtId="2" fontId="18" fillId="0" borderId="0" xfId="11" applyNumberFormat="1" applyFont="1" applyFill="1" applyAlignment="1"/>
    <xf numFmtId="2" fontId="18" fillId="0" borderId="0" xfId="11" applyNumberFormat="1" applyFont="1" applyFill="1" applyAlignment="1">
      <alignment horizontal="left"/>
    </xf>
    <xf numFmtId="2" fontId="18" fillId="0" borderId="0" xfId="11" applyNumberFormat="1" applyFont="1" applyFill="1" applyAlignment="1">
      <alignment horizontal="right"/>
    </xf>
    <xf numFmtId="2" fontId="21" fillId="0" borderId="0" xfId="11" applyNumberFormat="1" applyFont="1" applyFill="1" applyAlignment="1">
      <alignment horizontal="right"/>
    </xf>
    <xf numFmtId="165" fontId="21" fillId="0" borderId="0" xfId="11" applyNumberFormat="1" applyFont="1" applyFill="1"/>
    <xf numFmtId="2" fontId="21" fillId="0" borderId="0" xfId="11" applyNumberFormat="1" applyFont="1" applyFill="1" applyAlignment="1">
      <alignment horizontal="left"/>
    </xf>
    <xf numFmtId="165" fontId="18" fillId="0" borderId="1" xfId="11" applyNumberFormat="1" applyFont="1" applyFill="1" applyBorder="1" applyAlignment="1" applyProtection="1">
      <alignment horizontal="center" vertical="center" wrapText="1"/>
      <protection locked="0"/>
    </xf>
    <xf numFmtId="165" fontId="18" fillId="0" borderId="1" xfId="11" applyNumberFormat="1" applyFont="1" applyFill="1" applyBorder="1" applyAlignment="1">
      <alignment horizontal="center" vertical="center"/>
    </xf>
    <xf numFmtId="165" fontId="18" fillId="0" borderId="1" xfId="11" applyNumberFormat="1" applyFont="1" applyFill="1" applyBorder="1" applyAlignment="1" applyProtection="1">
      <alignment vertical="center" wrapText="1"/>
      <protection locked="0"/>
    </xf>
    <xf numFmtId="2" fontId="21" fillId="0" borderId="1" xfId="11" applyNumberFormat="1" applyFont="1" applyFill="1" applyBorder="1" applyAlignment="1" applyProtection="1">
      <alignment horizontal="right" wrapText="1" readingOrder="1"/>
      <protection locked="0"/>
    </xf>
    <xf numFmtId="2" fontId="21" fillId="0" borderId="1" xfId="11" applyNumberFormat="1" applyFont="1" applyFill="1" applyBorder="1" applyAlignment="1" applyProtection="1">
      <alignment horizontal="right" vertical="top" wrapText="1" readingOrder="1"/>
      <protection locked="0"/>
    </xf>
    <xf numFmtId="2" fontId="21" fillId="0" borderId="1" xfId="11" applyNumberFormat="1" applyFont="1" applyFill="1" applyBorder="1" applyAlignment="1" applyProtection="1">
      <alignment wrapText="1" readingOrder="1"/>
      <protection locked="0"/>
    </xf>
    <xf numFmtId="2" fontId="18" fillId="0" borderId="1" xfId="11" applyNumberFormat="1" applyFont="1" applyFill="1" applyBorder="1" applyAlignment="1" applyProtection="1">
      <alignment horizontal="right" wrapText="1" readingOrder="1"/>
      <protection locked="0"/>
    </xf>
    <xf numFmtId="1" fontId="18" fillId="0" borderId="6" xfId="11" applyNumberFormat="1" applyFont="1" applyFill="1" applyBorder="1"/>
    <xf numFmtId="165" fontId="18" fillId="0" borderId="6" xfId="23" applyNumberFormat="1" applyFont="1" applyFill="1" applyBorder="1"/>
    <xf numFmtId="2" fontId="21" fillId="0" borderId="22" xfId="11" applyNumberFormat="1" applyFont="1" applyFill="1" applyBorder="1" applyAlignment="1">
      <alignment readingOrder="1"/>
    </xf>
    <xf numFmtId="2" fontId="21" fillId="0" borderId="6" xfId="11" applyNumberFormat="1" applyFont="1" applyFill="1" applyBorder="1" applyAlignment="1">
      <alignment readingOrder="1"/>
    </xf>
    <xf numFmtId="165" fontId="18" fillId="0" borderId="1" xfId="2" applyNumberFormat="1" applyFont="1" applyFill="1" applyBorder="1"/>
    <xf numFmtId="2" fontId="21" fillId="0" borderId="2" xfId="11" applyNumberFormat="1" applyFont="1" applyFill="1" applyBorder="1" applyAlignment="1" applyProtection="1">
      <alignment horizontal="right" wrapText="1" readingOrder="1"/>
      <protection locked="0"/>
    </xf>
    <xf numFmtId="2" fontId="21" fillId="0" borderId="3" xfId="11" applyNumberFormat="1" applyFont="1" applyFill="1" applyBorder="1" applyAlignment="1" applyProtection="1">
      <alignment horizontal="right" wrapText="1" readingOrder="1"/>
      <protection locked="0"/>
    </xf>
    <xf numFmtId="2" fontId="21" fillId="0" borderId="4" xfId="11" applyNumberFormat="1" applyFont="1" applyFill="1" applyBorder="1" applyAlignment="1" applyProtection="1">
      <alignment horizontal="right" wrapText="1" readingOrder="1"/>
      <protection locked="0"/>
    </xf>
    <xf numFmtId="2" fontId="21" fillId="0" borderId="4" xfId="11" applyNumberFormat="1" applyFont="1" applyFill="1" applyBorder="1" applyAlignment="1" applyProtection="1">
      <alignment wrapText="1" readingOrder="1"/>
      <protection locked="0"/>
    </xf>
    <xf numFmtId="2" fontId="21" fillId="0" borderId="1" xfId="11" applyNumberFormat="1" applyFont="1" applyFill="1" applyBorder="1" applyAlignment="1">
      <alignment readingOrder="1"/>
    </xf>
    <xf numFmtId="165" fontId="18" fillId="0" borderId="6" xfId="2" applyNumberFormat="1" applyFont="1" applyFill="1" applyBorder="1"/>
    <xf numFmtId="2" fontId="22" fillId="0" borderId="8" xfId="11" applyNumberFormat="1" applyFont="1" applyFill="1" applyBorder="1" applyAlignment="1" applyProtection="1">
      <alignment horizontal="right" wrapText="1" readingOrder="1"/>
      <protection locked="0"/>
    </xf>
    <xf numFmtId="2" fontId="22" fillId="0" borderId="5" xfId="11" applyNumberFormat="1" applyFont="1" applyFill="1" applyBorder="1" applyAlignment="1" applyProtection="1">
      <alignment horizontal="right" wrapText="1" readingOrder="1"/>
      <protection locked="0"/>
    </xf>
    <xf numFmtId="2" fontId="22" fillId="0" borderId="9" xfId="11" applyNumberFormat="1" applyFont="1" applyFill="1" applyBorder="1" applyAlignment="1" applyProtection="1">
      <alignment horizontal="right" wrapText="1" readingOrder="1"/>
      <protection locked="0"/>
    </xf>
    <xf numFmtId="2" fontId="21" fillId="0" borderId="6" xfId="11" applyNumberFormat="1" applyFont="1" applyFill="1" applyBorder="1" applyAlignment="1" applyProtection="1">
      <alignment wrapText="1" readingOrder="1"/>
      <protection locked="0"/>
    </xf>
    <xf numFmtId="2" fontId="22" fillId="0" borderId="9" xfId="11" applyNumberFormat="1" applyFont="1" applyFill="1" applyBorder="1" applyAlignment="1" applyProtection="1">
      <alignment wrapText="1" readingOrder="1"/>
      <protection locked="0"/>
    </xf>
    <xf numFmtId="2" fontId="22" fillId="0" borderId="6" xfId="11" applyNumberFormat="1" applyFont="1" applyFill="1" applyBorder="1" applyAlignment="1" applyProtection="1">
      <alignment horizontal="right" wrapText="1" readingOrder="1"/>
      <protection locked="0"/>
    </xf>
    <xf numFmtId="2" fontId="22" fillId="0" borderId="1" xfId="11" applyNumberFormat="1" applyFont="1" applyFill="1" applyBorder="1" applyAlignment="1" applyProtection="1">
      <alignment horizontal="right" wrapText="1" readingOrder="1"/>
      <protection locked="0"/>
    </xf>
    <xf numFmtId="2" fontId="22" fillId="0" borderId="1" xfId="11" applyNumberFormat="1" applyFont="1" applyFill="1" applyBorder="1" applyAlignment="1" applyProtection="1">
      <alignment wrapText="1" readingOrder="1"/>
      <protection locked="0"/>
    </xf>
    <xf numFmtId="2" fontId="21" fillId="0" borderId="8" xfId="11" applyNumberFormat="1" applyFont="1" applyFill="1" applyBorder="1" applyAlignment="1" applyProtection="1">
      <alignment horizontal="right" wrapText="1" readingOrder="1"/>
      <protection locked="0"/>
    </xf>
    <xf numFmtId="2" fontId="21" fillId="0" borderId="5" xfId="11" applyNumberFormat="1" applyFont="1" applyFill="1" applyBorder="1" applyAlignment="1" applyProtection="1">
      <alignment horizontal="right" wrapText="1" readingOrder="1"/>
      <protection locked="0"/>
    </xf>
    <xf numFmtId="2" fontId="21" fillId="0" borderId="9" xfId="11" applyNumberFormat="1" applyFont="1" applyFill="1" applyBorder="1" applyAlignment="1" applyProtection="1">
      <alignment horizontal="right" wrapText="1" readingOrder="1"/>
      <protection locked="0"/>
    </xf>
    <xf numFmtId="2" fontId="21" fillId="0" borderId="9" xfId="11" applyNumberFormat="1" applyFont="1" applyFill="1" applyBorder="1" applyAlignment="1" applyProtection="1">
      <alignment wrapText="1" readingOrder="1"/>
      <protection locked="0"/>
    </xf>
    <xf numFmtId="2" fontId="21" fillId="0" borderId="6" xfId="11" applyNumberFormat="1" applyFont="1" applyFill="1" applyBorder="1" applyAlignment="1" applyProtection="1">
      <alignment horizontal="right" wrapText="1" readingOrder="1"/>
      <protection locked="0"/>
    </xf>
    <xf numFmtId="1" fontId="18" fillId="0" borderId="12" xfId="11" applyNumberFormat="1" applyFont="1" applyFill="1" applyBorder="1"/>
    <xf numFmtId="165" fontId="18" fillId="0" borderId="12" xfId="29" applyNumberFormat="1" applyFont="1" applyFill="1" applyBorder="1"/>
    <xf numFmtId="2" fontId="21" fillId="0" borderId="16" xfId="11" applyNumberFormat="1" applyFont="1" applyFill="1" applyBorder="1" applyAlignment="1" applyProtection="1">
      <alignment horizontal="right" wrapText="1" readingOrder="1"/>
      <protection locked="0"/>
    </xf>
    <xf numFmtId="2" fontId="21" fillId="0" borderId="15" xfId="11" applyNumberFormat="1" applyFont="1" applyFill="1" applyBorder="1" applyAlignment="1" applyProtection="1">
      <alignment horizontal="right" wrapText="1" readingOrder="1"/>
      <protection locked="0"/>
    </xf>
    <xf numFmtId="2" fontId="21" fillId="0" borderId="17" xfId="11" applyNumberFormat="1" applyFont="1" applyFill="1" applyBorder="1" applyAlignment="1" applyProtection="1">
      <alignment horizontal="right" wrapText="1" readingOrder="1"/>
      <protection locked="0"/>
    </xf>
    <xf numFmtId="2" fontId="21" fillId="0" borderId="12" xfId="11" applyNumberFormat="1" applyFont="1" applyFill="1" applyBorder="1" applyAlignment="1" applyProtection="1">
      <alignment wrapText="1" readingOrder="1"/>
      <protection locked="0"/>
    </xf>
    <xf numFmtId="2" fontId="21" fillId="0" borderId="17" xfId="11" applyNumberFormat="1" applyFont="1" applyFill="1" applyBorder="1" applyAlignment="1" applyProtection="1">
      <alignment wrapText="1" readingOrder="1"/>
      <protection locked="0"/>
    </xf>
    <xf numFmtId="2" fontId="21" fillId="0" borderId="12" xfId="11" applyNumberFormat="1" applyFont="1" applyFill="1" applyBorder="1" applyAlignment="1" applyProtection="1">
      <alignment horizontal="right" wrapText="1" readingOrder="1"/>
      <protection locked="0"/>
    </xf>
    <xf numFmtId="165" fontId="18" fillId="0" borderId="1" xfId="23" applyNumberFormat="1" applyFont="1" applyFill="1" applyBorder="1"/>
    <xf numFmtId="2" fontId="21" fillId="0" borderId="7" xfId="11" applyNumberFormat="1" applyFont="1" applyFill="1" applyBorder="1" applyAlignment="1">
      <alignment readingOrder="1"/>
    </xf>
    <xf numFmtId="165" fontId="18" fillId="0" borderId="1" xfId="26" applyNumberFormat="1" applyFont="1" applyFill="1" applyBorder="1" applyAlignment="1"/>
    <xf numFmtId="165" fontId="21" fillId="0" borderId="5" xfId="11" applyNumberFormat="1" applyFont="1" applyFill="1" applyBorder="1" applyAlignment="1" applyProtection="1">
      <alignment horizontal="right" wrapText="1" readingOrder="1"/>
      <protection locked="0"/>
    </xf>
    <xf numFmtId="165" fontId="21" fillId="0" borderId="6" xfId="11" applyNumberFormat="1" applyFont="1" applyFill="1" applyBorder="1" applyAlignment="1" applyProtection="1">
      <alignment horizontal="right" wrapText="1" readingOrder="1"/>
      <protection locked="0"/>
    </xf>
    <xf numFmtId="165" fontId="21" fillId="0" borderId="6" xfId="11" applyNumberFormat="1" applyFont="1" applyFill="1" applyBorder="1"/>
    <xf numFmtId="165" fontId="18" fillId="0" borderId="1" xfId="11" applyNumberFormat="1" applyFont="1" applyFill="1" applyBorder="1" applyAlignment="1" applyProtection="1">
      <alignment wrapText="1" readingOrder="1"/>
      <protection locked="0"/>
    </xf>
    <xf numFmtId="166" fontId="21" fillId="0" borderId="0" xfId="11" applyNumberFormat="1" applyFont="1" applyFill="1"/>
    <xf numFmtId="166" fontId="18" fillId="0" borderId="0" xfId="11" applyNumberFormat="1" applyFont="1" applyFill="1"/>
    <xf numFmtId="168" fontId="21" fillId="0" borderId="0" xfId="11" applyNumberFormat="1" applyFont="1" applyFill="1"/>
    <xf numFmtId="165" fontId="21" fillId="0" borderId="0" xfId="0" applyNumberFormat="1" applyFont="1" applyFill="1"/>
    <xf numFmtId="165" fontId="18" fillId="0" borderId="0" xfId="11" applyNumberFormat="1" applyFont="1" applyFill="1"/>
    <xf numFmtId="167" fontId="21" fillId="0" borderId="0" xfId="11" applyNumberFormat="1" applyFont="1" applyFill="1"/>
    <xf numFmtId="0" fontId="21" fillId="0" borderId="0" xfId="0" applyFont="1" applyFill="1"/>
    <xf numFmtId="165" fontId="21" fillId="0" borderId="0" xfId="11" applyNumberFormat="1" applyFont="1" applyFill="1" applyAlignment="1">
      <alignment horizontal="center"/>
    </xf>
    <xf numFmtId="2" fontId="18" fillId="0" borderId="1" xfId="2" applyNumberFormat="1" applyFont="1" applyFill="1" applyBorder="1" applyAlignment="1">
      <alignment horizontal="center" vertical="center"/>
    </xf>
    <xf numFmtId="0" fontId="20" fillId="0" borderId="0" xfId="2" applyFont="1" applyFill="1" applyAlignment="1" applyProtection="1">
      <alignment horizontal="right" vertical="center"/>
      <protection locked="0"/>
    </xf>
    <xf numFmtId="43" fontId="20" fillId="0" borderId="0" xfId="2" applyNumberFormat="1" applyFont="1" applyFill="1" applyAlignment="1" applyProtection="1">
      <alignment horizontal="right" vertical="center"/>
      <protection locked="0"/>
    </xf>
    <xf numFmtId="2" fontId="20" fillId="0" borderId="1" xfId="2" applyNumberFormat="1" applyFont="1" applyFill="1" applyBorder="1" applyAlignment="1" applyProtection="1">
      <alignment horizontal="center" vertical="center"/>
      <protection locked="0"/>
    </xf>
    <xf numFmtId="0" fontId="20" fillId="0" borderId="1" xfId="2" applyFont="1" applyFill="1" applyBorder="1" applyProtection="1">
      <protection locked="0"/>
    </xf>
    <xf numFmtId="2" fontId="17" fillId="0" borderId="1" xfId="1" applyNumberFormat="1" applyFont="1" applyFill="1" applyBorder="1" applyProtection="1">
      <protection locked="0"/>
    </xf>
    <xf numFmtId="2" fontId="17" fillId="0" borderId="1" xfId="0" applyNumberFormat="1" applyFont="1" applyFill="1" applyBorder="1" applyAlignment="1" applyProtection="1">
      <alignment horizontal="right" wrapText="1"/>
      <protection locked="0"/>
    </xf>
    <xf numFmtId="2" fontId="17" fillId="0" borderId="1" xfId="2" applyNumberFormat="1" applyFont="1" applyFill="1" applyBorder="1" applyAlignment="1" applyProtection="1">
      <alignment horizontal="right" wrapText="1"/>
      <protection locked="0"/>
    </xf>
    <xf numFmtId="2" fontId="20" fillId="0" borderId="1" xfId="1" applyNumberFormat="1" applyFont="1" applyFill="1" applyBorder="1" applyAlignment="1" applyProtection="1">
      <alignment horizontal="right"/>
      <protection locked="0"/>
    </xf>
    <xf numFmtId="1" fontId="20" fillId="0" borderId="0" xfId="2" applyNumberFormat="1" applyFont="1" applyFill="1" applyProtection="1">
      <protection locked="0"/>
    </xf>
    <xf numFmtId="0" fontId="20" fillId="0" borderId="0" xfId="2" applyFont="1" applyFill="1" applyProtection="1">
      <protection locked="0"/>
    </xf>
    <xf numFmtId="2" fontId="17" fillId="0" borderId="1" xfId="0" applyNumberFormat="1" applyFont="1" applyFill="1" applyBorder="1" applyProtection="1">
      <protection locked="0"/>
    </xf>
    <xf numFmtId="166" fontId="17" fillId="0" borderId="1" xfId="1" applyNumberFormat="1" applyFont="1" applyFill="1" applyBorder="1" applyProtection="1">
      <protection locked="0"/>
    </xf>
    <xf numFmtId="1" fontId="20" fillId="0" borderId="11" xfId="2" applyNumberFormat="1" applyFont="1" applyFill="1" applyBorder="1" applyProtection="1">
      <protection locked="0"/>
    </xf>
    <xf numFmtId="0" fontId="20" fillId="0" borderId="11" xfId="2" applyFont="1" applyFill="1" applyBorder="1" applyProtection="1">
      <protection locked="0"/>
    </xf>
    <xf numFmtId="2" fontId="17" fillId="0" borderId="6" xfId="1" applyNumberFormat="1" applyFont="1" applyFill="1" applyBorder="1" applyProtection="1">
      <protection locked="0"/>
    </xf>
    <xf numFmtId="167" fontId="17" fillId="0" borderId="1" xfId="1" applyNumberFormat="1" applyFont="1" applyFill="1" applyBorder="1" applyProtection="1">
      <protection locked="0"/>
    </xf>
    <xf numFmtId="2" fontId="20" fillId="0" borderId="1" xfId="1" applyNumberFormat="1" applyFont="1" applyFill="1" applyBorder="1" applyProtection="1">
      <protection locked="0"/>
    </xf>
    <xf numFmtId="2" fontId="17" fillId="0" borderId="0" xfId="0" applyNumberFormat="1" applyFont="1" applyFill="1" applyBorder="1"/>
    <xf numFmtId="165" fontId="20" fillId="0" borderId="0" xfId="2" applyNumberFormat="1" applyFont="1" applyFill="1" applyAlignment="1" applyProtection="1">
      <alignment horizontal="right"/>
      <protection locked="0"/>
    </xf>
    <xf numFmtId="2" fontId="20" fillId="0" borderId="0" xfId="2" applyNumberFormat="1" applyFont="1" applyFill="1" applyProtection="1">
      <protection locked="0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readingOrder="1"/>
    </xf>
    <xf numFmtId="2" fontId="4" fillId="0" borderId="0" xfId="0" applyNumberFormat="1" applyFont="1" applyFill="1" applyAlignment="1">
      <alignment vertical="center" wrapText="1" readingOrder="1"/>
    </xf>
    <xf numFmtId="2" fontId="5" fillId="0" borderId="1" xfId="0" applyNumberFormat="1" applyFont="1" applyFill="1" applyBorder="1" applyAlignment="1">
      <alignment vertical="center" readingOrder="1"/>
    </xf>
    <xf numFmtId="2" fontId="5" fillId="0" borderId="1" xfId="2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vertical="center" readingOrder="1"/>
    </xf>
    <xf numFmtId="1" fontId="5" fillId="0" borderId="1" xfId="0" applyNumberFormat="1" applyFont="1" applyFill="1" applyBorder="1" applyAlignment="1">
      <alignment vertical="center" readingOrder="1"/>
    </xf>
    <xf numFmtId="2" fontId="8" fillId="0" borderId="12" xfId="2" applyNumberFormat="1" applyFont="1" applyFill="1" applyBorder="1" applyAlignment="1">
      <alignment vertical="center" wrapText="1" readingOrder="1"/>
    </xf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8" fillId="0" borderId="1" xfId="2" applyNumberFormat="1" applyFont="1" applyFill="1" applyBorder="1" applyAlignment="1">
      <alignment vertical="center" readingOrder="1"/>
    </xf>
    <xf numFmtId="2" fontId="8" fillId="0" borderId="12" xfId="2" applyNumberFormat="1" applyFont="1" applyFill="1" applyBorder="1" applyAlignment="1">
      <alignment vertical="center" readingOrder="1"/>
    </xf>
    <xf numFmtId="2" fontId="4" fillId="0" borderId="1" xfId="0" applyNumberFormat="1" applyFont="1" applyFill="1" applyBorder="1" applyAlignment="1">
      <alignment readingOrder="1"/>
    </xf>
    <xf numFmtId="2" fontId="8" fillId="0" borderId="12" xfId="18" applyNumberFormat="1" applyFont="1" applyFill="1" applyBorder="1" applyAlignment="1">
      <alignment vertical="center" readingOrder="1"/>
    </xf>
    <xf numFmtId="2" fontId="4" fillId="0" borderId="1" xfId="0" applyNumberFormat="1" applyFont="1" applyFill="1" applyBorder="1" applyAlignment="1">
      <alignment horizontal="right" readingOrder="1"/>
    </xf>
    <xf numFmtId="2" fontId="5" fillId="0" borderId="1" xfId="2" applyNumberFormat="1" applyFont="1" applyFill="1" applyBorder="1" applyAlignment="1">
      <alignment vertical="center" readingOrder="1"/>
    </xf>
    <xf numFmtId="2" fontId="4" fillId="0" borderId="0" xfId="0" applyNumberFormat="1" applyFont="1" applyFill="1" applyAlignment="1">
      <alignment horizontal="right" readingOrder="1"/>
    </xf>
    <xf numFmtId="2" fontId="5" fillId="0" borderId="0" xfId="0" applyNumberFormat="1" applyFont="1" applyFill="1" applyBorder="1" applyAlignment="1">
      <alignment horizontal="right" readingOrder="1"/>
    </xf>
    <xf numFmtId="2" fontId="5" fillId="0" borderId="0" xfId="2" applyNumberFormat="1" applyFont="1" applyFill="1" applyBorder="1" applyAlignment="1">
      <alignment horizontal="right" readingOrder="1"/>
    </xf>
    <xf numFmtId="2" fontId="4" fillId="0" borderId="0" xfId="0" applyNumberFormat="1" applyFont="1" applyFill="1" applyBorder="1" applyAlignment="1">
      <alignment horizontal="right" readingOrder="1"/>
    </xf>
    <xf numFmtId="2" fontId="5" fillId="0" borderId="0" xfId="0" applyNumberFormat="1" applyFont="1" applyFill="1" applyBorder="1" applyAlignment="1">
      <alignment horizontal="right" vertical="center" wrapText="1" readingOrder="1"/>
    </xf>
    <xf numFmtId="165" fontId="4" fillId="0" borderId="0" xfId="0" applyNumberFormat="1" applyFont="1" applyFill="1" applyAlignment="1">
      <alignment readingOrder="1"/>
    </xf>
    <xf numFmtId="2" fontId="5" fillId="0" borderId="0" xfId="0" applyNumberFormat="1" applyFont="1" applyFill="1" applyBorder="1" applyAlignment="1">
      <alignment readingOrder="1"/>
    </xf>
    <xf numFmtId="2" fontId="5" fillId="0" borderId="0" xfId="2" applyNumberFormat="1" applyFont="1" applyFill="1" applyBorder="1"/>
    <xf numFmtId="2" fontId="4" fillId="0" borderId="0" xfId="0" applyNumberFormat="1" applyFont="1" applyFill="1" applyBorder="1" applyAlignment="1">
      <alignment readingOrder="1"/>
    </xf>
    <xf numFmtId="2" fontId="5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/>
    </xf>
    <xf numFmtId="2" fontId="5" fillId="0" borderId="0" xfId="29" applyNumberFormat="1" applyFont="1" applyFill="1" applyBorder="1"/>
    <xf numFmtId="2" fontId="5" fillId="0" borderId="0" xfId="18" applyNumberFormat="1" applyFont="1" applyFill="1" applyBorder="1"/>
    <xf numFmtId="2" fontId="5" fillId="0" borderId="0" xfId="26" applyNumberFormat="1" applyFont="1" applyFill="1" applyBorder="1" applyAlignment="1"/>
    <xf numFmtId="2" fontId="5" fillId="0" borderId="1" xfId="11" applyNumberFormat="1" applyFont="1" applyFill="1" applyBorder="1" applyAlignment="1">
      <alignment horizontal="center" vertical="center"/>
    </xf>
    <xf numFmtId="2" fontId="4" fillId="0" borderId="0" xfId="11" applyNumberFormat="1" applyFont="1" applyFill="1"/>
    <xf numFmtId="2" fontId="4" fillId="0" borderId="1" xfId="11" applyNumberFormat="1" applyFont="1" applyFill="1" applyBorder="1"/>
    <xf numFmtId="2" fontId="5" fillId="0" borderId="1" xfId="11" applyNumberFormat="1" applyFont="1" applyFill="1" applyBorder="1" applyAlignment="1">
      <alignment horizontal="center"/>
    </xf>
    <xf numFmtId="1" fontId="5" fillId="0" borderId="1" xfId="11" applyNumberFormat="1" applyFont="1" applyFill="1" applyBorder="1"/>
    <xf numFmtId="2" fontId="8" fillId="0" borderId="12" xfId="2" applyNumberFormat="1" applyFont="1" applyFill="1" applyBorder="1" applyAlignment="1">
      <alignment vertical="center" wrapText="1"/>
    </xf>
    <xf numFmtId="2" fontId="15" fillId="0" borderId="13" xfId="0" applyNumberFormat="1" applyFont="1" applyFill="1" applyBorder="1" applyAlignment="1">
      <alignment horizontal="right"/>
    </xf>
    <xf numFmtId="2" fontId="5" fillId="0" borderId="1" xfId="11" applyNumberFormat="1" applyFont="1" applyFill="1" applyBorder="1"/>
    <xf numFmtId="2" fontId="8" fillId="0" borderId="12" xfId="2" applyNumberFormat="1" applyFont="1" applyFill="1" applyBorder="1" applyAlignment="1">
      <alignment vertical="center"/>
    </xf>
    <xf numFmtId="2" fontId="8" fillId="0" borderId="12" xfId="18" applyNumberFormat="1" applyFont="1" applyFill="1" applyBorder="1" applyAlignment="1">
      <alignment vertical="center"/>
    </xf>
    <xf numFmtId="2" fontId="5" fillId="0" borderId="1" xfId="2" applyNumberFormat="1" applyFont="1" applyFill="1" applyBorder="1"/>
    <xf numFmtId="2" fontId="5" fillId="0" borderId="1" xfId="11" applyNumberFormat="1" applyFont="1" applyFill="1" applyBorder="1" applyAlignment="1"/>
    <xf numFmtId="2" fontId="7" fillId="0" borderId="10" xfId="11" applyNumberFormat="1" applyFont="1" applyFill="1" applyBorder="1" applyAlignment="1"/>
    <xf numFmtId="2" fontId="8" fillId="0" borderId="0" xfId="11" applyNumberFormat="1" applyFont="1" applyFill="1"/>
    <xf numFmtId="2" fontId="9" fillId="0" borderId="0" xfId="11" applyNumberFormat="1" applyFont="1" applyFill="1"/>
    <xf numFmtId="2" fontId="8" fillId="0" borderId="0" xfId="11" applyNumberFormat="1" applyFont="1" applyFill="1" applyAlignment="1"/>
    <xf numFmtId="2" fontId="8" fillId="0" borderId="0" xfId="11" applyNumberFormat="1" applyFont="1" applyFill="1" applyAlignment="1">
      <alignment horizontal="left"/>
    </xf>
    <xf numFmtId="2" fontId="5" fillId="0" borderId="0" xfId="11" applyNumberFormat="1" applyFont="1" applyFill="1" applyAlignment="1">
      <alignment horizontal="left"/>
    </xf>
    <xf numFmtId="2" fontId="5" fillId="0" borderId="0" xfId="11" applyNumberFormat="1" applyFont="1" applyFill="1" applyAlignment="1">
      <alignment horizontal="right"/>
    </xf>
    <xf numFmtId="2" fontId="4" fillId="0" borderId="0" xfId="11" applyNumberFormat="1" applyFont="1" applyFill="1" applyAlignment="1">
      <alignment horizontal="right"/>
    </xf>
    <xf numFmtId="165" fontId="4" fillId="0" borderId="0" xfId="11" applyNumberFormat="1" applyFont="1" applyFill="1"/>
    <xf numFmtId="2" fontId="4" fillId="0" borderId="0" xfId="11" applyNumberFormat="1" applyFont="1" applyFill="1" applyAlignment="1">
      <alignment horizontal="left"/>
    </xf>
    <xf numFmtId="2" fontId="5" fillId="0" borderId="1" xfId="7" applyNumberFormat="1" applyFont="1" applyFill="1" applyBorder="1" applyAlignment="1">
      <alignment horizontal="center" vertical="center" wrapText="1"/>
    </xf>
    <xf numFmtId="165" fontId="5" fillId="0" borderId="1" xfId="11" applyNumberFormat="1" applyFont="1" applyFill="1" applyBorder="1" applyAlignment="1" applyProtection="1">
      <alignment horizontal="center" vertical="center" wrapText="1"/>
      <protection locked="0"/>
    </xf>
    <xf numFmtId="165" fontId="5" fillId="0" borderId="14" xfId="11" applyNumberFormat="1" applyFont="1" applyFill="1" applyBorder="1" applyAlignment="1">
      <alignment horizontal="center" vertical="center"/>
    </xf>
    <xf numFmtId="165" fontId="5" fillId="0" borderId="1" xfId="11" applyNumberFormat="1" applyFont="1" applyFill="1" applyBorder="1" applyAlignment="1" applyProtection="1">
      <alignment vertical="center" wrapText="1"/>
      <protection locked="0"/>
    </xf>
    <xf numFmtId="165" fontId="5" fillId="0" borderId="2" xfId="11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11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11" applyNumberFormat="1" applyFont="1" applyFill="1" applyBorder="1" applyAlignment="1">
      <alignment horizontal="center" vertical="center"/>
    </xf>
    <xf numFmtId="2" fontId="4" fillId="0" borderId="2" xfId="11" applyNumberFormat="1" applyFont="1" applyFill="1" applyBorder="1" applyAlignment="1" applyProtection="1">
      <alignment horizontal="right" wrapText="1" readingOrder="1"/>
      <protection locked="0"/>
    </xf>
    <xf numFmtId="2" fontId="4" fillId="0" borderId="3" xfId="11" applyNumberFormat="1" applyFont="1" applyFill="1" applyBorder="1" applyAlignment="1" applyProtection="1">
      <alignment horizontal="right" wrapText="1" readingOrder="1"/>
      <protection locked="0"/>
    </xf>
    <xf numFmtId="2" fontId="4" fillId="0" borderId="3" xfId="11" applyNumberFormat="1" applyFont="1" applyFill="1" applyBorder="1" applyAlignment="1" applyProtection="1">
      <alignment horizontal="right" vertical="top" wrapText="1" readingOrder="1"/>
      <protection locked="0"/>
    </xf>
    <xf numFmtId="2" fontId="4" fillId="0" borderId="4" xfId="11" applyNumberFormat="1" applyFont="1" applyFill="1" applyBorder="1" applyAlignment="1" applyProtection="1">
      <alignment horizontal="right" wrapText="1" readingOrder="1"/>
      <protection locked="0"/>
    </xf>
    <xf numFmtId="2" fontId="4" fillId="0" borderId="1" xfId="11" applyNumberFormat="1" applyFont="1" applyFill="1" applyBorder="1" applyAlignment="1" applyProtection="1">
      <alignment wrapText="1" readingOrder="1"/>
      <protection locked="0"/>
    </xf>
    <xf numFmtId="2" fontId="4" fillId="0" borderId="4" xfId="11" applyNumberFormat="1" applyFont="1" applyFill="1" applyBorder="1" applyAlignment="1" applyProtection="1">
      <alignment wrapText="1" readingOrder="1"/>
      <protection locked="0"/>
    </xf>
    <xf numFmtId="2" fontId="4" fillId="0" borderId="5" xfId="11" applyNumberFormat="1" applyFont="1" applyFill="1" applyBorder="1" applyAlignment="1" applyProtection="1">
      <alignment horizontal="right" wrapText="1" readingOrder="1"/>
      <protection locked="0"/>
    </xf>
    <xf numFmtId="2" fontId="4" fillId="0" borderId="6" xfId="11" applyNumberFormat="1" applyFont="1" applyFill="1" applyBorder="1" applyAlignment="1" applyProtection="1">
      <alignment horizontal="right" wrapText="1" readingOrder="1"/>
      <protection locked="0"/>
    </xf>
    <xf numFmtId="2" fontId="5" fillId="0" borderId="1" xfId="11" applyNumberFormat="1" applyFont="1" applyFill="1" applyBorder="1" applyAlignment="1" applyProtection="1">
      <alignment horizontal="right" wrapText="1" readingOrder="1"/>
      <protection locked="0"/>
    </xf>
    <xf numFmtId="2" fontId="4" fillId="0" borderId="7" xfId="11" applyNumberFormat="1" applyFont="1" applyFill="1" applyBorder="1" applyAlignment="1">
      <alignment readingOrder="1"/>
    </xf>
    <xf numFmtId="2" fontId="4" fillId="0" borderId="1" xfId="11" applyNumberFormat="1" applyFont="1" applyFill="1" applyBorder="1" applyAlignment="1">
      <alignment readingOrder="1"/>
    </xf>
    <xf numFmtId="2" fontId="4" fillId="0" borderId="1" xfId="11" applyNumberFormat="1" applyFont="1" applyFill="1" applyBorder="1" applyAlignment="1" applyProtection="1">
      <alignment horizontal="right" wrapText="1" readingOrder="1"/>
      <protection locked="0"/>
    </xf>
    <xf numFmtId="2" fontId="6" fillId="0" borderId="2" xfId="11" applyNumberFormat="1" applyFont="1" applyFill="1" applyBorder="1" applyAlignment="1" applyProtection="1">
      <alignment horizontal="right" wrapText="1" readingOrder="1"/>
      <protection locked="0"/>
    </xf>
    <xf numFmtId="2" fontId="6" fillId="0" borderId="3" xfId="11" applyNumberFormat="1" applyFont="1" applyFill="1" applyBorder="1" applyAlignment="1" applyProtection="1">
      <alignment horizontal="right" wrapText="1" readingOrder="1"/>
      <protection locked="0"/>
    </xf>
    <xf numFmtId="2" fontId="6" fillId="0" borderId="4" xfId="11" applyNumberFormat="1" applyFont="1" applyFill="1" applyBorder="1" applyAlignment="1" applyProtection="1">
      <alignment horizontal="right" wrapText="1" readingOrder="1"/>
      <protection locked="0"/>
    </xf>
    <xf numFmtId="2" fontId="6" fillId="0" borderId="8" xfId="11" applyNumberFormat="1" applyFont="1" applyFill="1" applyBorder="1" applyAlignment="1" applyProtection="1">
      <alignment horizontal="right" wrapText="1" readingOrder="1"/>
      <protection locked="0"/>
    </xf>
    <xf numFmtId="2" fontId="6" fillId="0" borderId="9" xfId="11" applyNumberFormat="1" applyFont="1" applyFill="1" applyBorder="1" applyAlignment="1" applyProtection="1">
      <alignment wrapText="1" readingOrder="1"/>
      <protection locked="0"/>
    </xf>
    <xf numFmtId="2" fontId="6" fillId="0" borderId="5" xfId="11" applyNumberFormat="1" applyFont="1" applyFill="1" applyBorder="1" applyAlignment="1" applyProtection="1">
      <alignment horizontal="right" wrapText="1" readingOrder="1"/>
      <protection locked="0"/>
    </xf>
    <xf numFmtId="2" fontId="6" fillId="0" borderId="1" xfId="11" applyNumberFormat="1" applyFont="1" applyFill="1" applyBorder="1" applyAlignment="1" applyProtection="1">
      <alignment horizontal="right" wrapText="1" readingOrder="1"/>
      <protection locked="0"/>
    </xf>
    <xf numFmtId="165" fontId="4" fillId="0" borderId="6" xfId="11" applyNumberFormat="1" applyFont="1" applyFill="1" applyBorder="1"/>
    <xf numFmtId="165" fontId="4" fillId="0" borderId="1" xfId="11" applyNumberFormat="1" applyFont="1" applyFill="1" applyBorder="1"/>
    <xf numFmtId="2" fontId="5" fillId="0" borderId="3" xfId="11" applyNumberFormat="1" applyFont="1" applyFill="1" applyBorder="1" applyAlignment="1" applyProtection="1">
      <alignment horizontal="right" wrapText="1" readingOrder="1"/>
      <protection locked="0"/>
    </xf>
    <xf numFmtId="166" fontId="4" fillId="0" borderId="0" xfId="11" applyNumberFormat="1" applyFont="1" applyFill="1"/>
    <xf numFmtId="166" fontId="5" fillId="0" borderId="0" xfId="11" applyNumberFormat="1" applyFont="1" applyFill="1"/>
    <xf numFmtId="165" fontId="4" fillId="0" borderId="0" xfId="0" applyNumberFormat="1" applyFont="1" applyFill="1"/>
    <xf numFmtId="165" fontId="5" fillId="0" borderId="0" xfId="11" applyNumberFormat="1" applyFont="1" applyFill="1"/>
    <xf numFmtId="0" fontId="4" fillId="0" borderId="0" xfId="0" applyFont="1" applyFill="1"/>
    <xf numFmtId="165" fontId="4" fillId="0" borderId="0" xfId="11" applyNumberFormat="1" applyFont="1" applyFill="1" applyAlignment="1">
      <alignment horizontal="center"/>
    </xf>
    <xf numFmtId="2" fontId="5" fillId="0" borderId="1" xfId="2" applyNumberFormat="1" applyFont="1" applyFill="1" applyBorder="1" applyAlignment="1">
      <alignment horizontal="center" vertical="center"/>
    </xf>
    <xf numFmtId="0" fontId="12" fillId="0" borderId="0" xfId="2" applyFont="1" applyFill="1" applyAlignment="1" applyProtection="1">
      <alignment horizontal="right" vertical="center"/>
      <protection locked="0"/>
    </xf>
    <xf numFmtId="43" fontId="12" fillId="0" borderId="0" xfId="2" applyNumberFormat="1" applyFont="1" applyFill="1" applyAlignment="1" applyProtection="1">
      <alignment horizontal="right" vertical="center"/>
      <protection locked="0"/>
    </xf>
    <xf numFmtId="0" fontId="12" fillId="0" borderId="1" xfId="2" applyFont="1" applyFill="1" applyBorder="1" applyAlignment="1" applyProtection="1">
      <alignment horizontal="center" vertical="center"/>
      <protection locked="0"/>
    </xf>
    <xf numFmtId="0" fontId="12" fillId="0" borderId="1" xfId="2" applyFont="1" applyFill="1" applyBorder="1" applyProtection="1">
      <protection locked="0"/>
    </xf>
    <xf numFmtId="2" fontId="13" fillId="0" borderId="1" xfId="1" applyNumberFormat="1" applyFont="1" applyFill="1" applyBorder="1" applyProtection="1">
      <protection locked="0"/>
    </xf>
    <xf numFmtId="2" fontId="13" fillId="0" borderId="1" xfId="2" applyNumberFormat="1" applyFont="1" applyFill="1" applyBorder="1" applyAlignment="1" applyProtection="1">
      <alignment horizontal="right" wrapText="1"/>
      <protection locked="0"/>
    </xf>
    <xf numFmtId="2" fontId="12" fillId="0" borderId="1" xfId="1" applyNumberFormat="1" applyFont="1" applyFill="1" applyBorder="1" applyAlignment="1" applyProtection="1">
      <alignment horizontal="right"/>
      <protection locked="0"/>
    </xf>
    <xf numFmtId="1" fontId="12" fillId="0" borderId="0" xfId="2" applyNumberFormat="1" applyFont="1" applyFill="1" applyProtection="1">
      <protection locked="0"/>
    </xf>
    <xf numFmtId="0" fontId="12" fillId="0" borderId="0" xfId="2" applyFont="1" applyFill="1" applyProtection="1">
      <protection locked="0"/>
    </xf>
    <xf numFmtId="1" fontId="12" fillId="0" borderId="1" xfId="2" applyNumberFormat="1" applyFont="1" applyFill="1" applyBorder="1" applyProtection="1">
      <protection locked="0"/>
    </xf>
    <xf numFmtId="165" fontId="8" fillId="0" borderId="12" xfId="2" applyNumberFormat="1" applyFont="1" applyFill="1" applyBorder="1" applyAlignment="1">
      <alignment vertical="center"/>
    </xf>
    <xf numFmtId="165" fontId="12" fillId="0" borderId="0" xfId="2" applyNumberFormat="1" applyFont="1" applyFill="1" applyProtection="1">
      <protection locked="0"/>
    </xf>
    <xf numFmtId="2" fontId="12" fillId="0" borderId="1" xfId="1" applyNumberFormat="1" applyFont="1" applyFill="1" applyBorder="1" applyProtection="1">
      <protection locked="0"/>
    </xf>
    <xf numFmtId="2" fontId="14" fillId="0" borderId="0" xfId="0" applyNumberFormat="1" applyFont="1" applyFill="1" applyBorder="1"/>
    <xf numFmtId="165" fontId="12" fillId="0" borderId="0" xfId="2" applyNumberFormat="1" applyFont="1" applyFill="1" applyAlignment="1" applyProtection="1">
      <alignment horizontal="right"/>
      <protection locked="0"/>
    </xf>
    <xf numFmtId="2" fontId="12" fillId="0" borderId="0" xfId="2" applyNumberFormat="1" applyFont="1" applyFill="1" applyProtection="1">
      <protection locked="0"/>
    </xf>
    <xf numFmtId="0" fontId="18" fillId="2" borderId="1" xfId="2" applyNumberFormat="1" applyFont="1" applyFill="1" applyBorder="1" applyAlignment="1">
      <alignment horizontal="center" vertical="center" wrapText="1"/>
    </xf>
    <xf numFmtId="0" fontId="18" fillId="2" borderId="1" xfId="2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1" fontId="18" fillId="2" borderId="0" xfId="2" applyNumberFormat="1" applyFont="1" applyFill="1" applyBorder="1" applyAlignment="1">
      <alignment horizontal="right" vertical="center"/>
    </xf>
    <xf numFmtId="1" fontId="18" fillId="2" borderId="1" xfId="2" applyNumberFormat="1" applyFont="1" applyFill="1" applyBorder="1" applyAlignment="1">
      <alignment horizontal="right" vertical="center"/>
    </xf>
    <xf numFmtId="1" fontId="18" fillId="2" borderId="18" xfId="2" applyNumberFormat="1" applyFont="1" applyFill="1" applyBorder="1" applyAlignment="1">
      <alignment horizontal="right" vertical="center"/>
    </xf>
    <xf numFmtId="0" fontId="18" fillId="2" borderId="18" xfId="2" applyNumberFormat="1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readingOrder="1"/>
    </xf>
    <xf numFmtId="0" fontId="18" fillId="2" borderId="1" xfId="0" applyFont="1" applyFill="1" applyBorder="1" applyAlignment="1">
      <alignment horizontal="center"/>
    </xf>
    <xf numFmtId="0" fontId="18" fillId="2" borderId="1" xfId="2" applyFont="1" applyFill="1" applyBorder="1" applyAlignment="1" applyProtection="1">
      <alignment horizontal="center" vertical="center" readingOrder="1"/>
      <protection locked="0"/>
    </xf>
    <xf numFmtId="0" fontId="18" fillId="2" borderId="1" xfId="2" applyFont="1" applyFill="1" applyBorder="1" applyAlignment="1" applyProtection="1">
      <alignment horizontal="center" readingOrder="1"/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2" borderId="1" xfId="0" applyFont="1" applyFill="1" applyBorder="1" applyAlignment="1">
      <alignment horizontal="center" vertical="center" wrapText="1" readingOrder="1"/>
    </xf>
    <xf numFmtId="2" fontId="18" fillId="0" borderId="1" xfId="2" applyNumberFormat="1" applyFont="1" applyFill="1" applyBorder="1" applyAlignment="1" applyProtection="1">
      <alignment horizontal="center" vertical="center" readingOrder="1"/>
      <protection locked="0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1" xfId="2" applyNumberFormat="1" applyFont="1" applyFill="1" applyBorder="1" applyAlignment="1">
      <alignment horizontal="center" vertical="center" readingOrder="1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0" borderId="1" xfId="27" applyNumberFormat="1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2" fontId="18" fillId="0" borderId="1" xfId="7" applyNumberFormat="1" applyFont="1" applyFill="1" applyBorder="1" applyAlignment="1">
      <alignment horizontal="center" vertical="center"/>
    </xf>
    <xf numFmtId="165" fontId="21" fillId="0" borderId="10" xfId="7" applyNumberFormat="1" applyFont="1" applyFill="1" applyBorder="1" applyAlignment="1">
      <alignment horizontal="left"/>
    </xf>
    <xf numFmtId="2" fontId="18" fillId="0" borderId="1" xfId="7" applyNumberFormat="1" applyFont="1" applyFill="1" applyBorder="1" applyAlignment="1">
      <alignment horizontal="center" vertical="center" wrapText="1"/>
    </xf>
    <xf numFmtId="2" fontId="18" fillId="0" borderId="1" xfId="27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2" fontId="18" fillId="0" borderId="7" xfId="0" applyNumberFormat="1" applyFont="1" applyFill="1" applyBorder="1" applyAlignment="1">
      <alignment horizontal="center" vertical="center"/>
    </xf>
    <xf numFmtId="2" fontId="18" fillId="0" borderId="1" xfId="11" applyNumberFormat="1" applyFont="1" applyFill="1" applyBorder="1" applyAlignment="1">
      <alignment horizontal="center" vertical="center"/>
    </xf>
    <xf numFmtId="165" fontId="18" fillId="0" borderId="1" xfId="11" applyNumberFormat="1" applyFont="1" applyFill="1" applyBorder="1" applyAlignment="1" applyProtection="1">
      <alignment horizontal="center" vertical="center" wrapText="1"/>
      <protection locked="0"/>
    </xf>
    <xf numFmtId="165" fontId="18" fillId="0" borderId="12" xfId="11" applyNumberFormat="1" applyFont="1" applyFill="1" applyBorder="1" applyAlignment="1">
      <alignment horizontal="center" vertical="center"/>
    </xf>
    <xf numFmtId="165" fontId="18" fillId="0" borderId="14" xfId="11" applyNumberFormat="1" applyFont="1" applyFill="1" applyBorder="1" applyAlignment="1">
      <alignment horizontal="center" vertical="center"/>
    </xf>
    <xf numFmtId="165" fontId="18" fillId="0" borderId="6" xfId="11" applyNumberFormat="1" applyFont="1" applyFill="1" applyBorder="1" applyAlignment="1">
      <alignment horizontal="center" vertical="center"/>
    </xf>
    <xf numFmtId="2" fontId="18" fillId="0" borderId="1" xfId="2" applyNumberFormat="1" applyFont="1" applyFill="1" applyBorder="1" applyAlignment="1">
      <alignment horizontal="center" vertical="center"/>
    </xf>
    <xf numFmtId="2" fontId="18" fillId="0" borderId="1" xfId="2" applyNumberFormat="1" applyFont="1" applyFill="1" applyBorder="1" applyAlignment="1">
      <alignment horizontal="center" vertical="center" wrapText="1"/>
    </xf>
    <xf numFmtId="165" fontId="20" fillId="0" borderId="1" xfId="2" applyNumberFormat="1" applyFont="1" applyFill="1" applyBorder="1" applyAlignment="1" applyProtection="1">
      <alignment horizontal="center" vertical="center"/>
      <protection locked="0"/>
    </xf>
    <xf numFmtId="0" fontId="20" fillId="0" borderId="18" xfId="2" applyFont="1" applyFill="1" applyBorder="1" applyAlignment="1" applyProtection="1">
      <alignment horizontal="center" vertical="center" wrapText="1"/>
      <protection locked="0"/>
    </xf>
    <xf numFmtId="0" fontId="20" fillId="0" borderId="7" xfId="2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center" vertical="center" readingOrder="1"/>
      <protection locked="0"/>
    </xf>
    <xf numFmtId="0" fontId="5" fillId="2" borderId="1" xfId="2" applyFont="1" applyFill="1" applyBorder="1" applyAlignment="1" applyProtection="1">
      <alignment horizontal="center" readingOrder="1"/>
      <protection locked="0"/>
    </xf>
    <xf numFmtId="2" fontId="5" fillId="2" borderId="1" xfId="0" applyNumberFormat="1" applyFont="1" applyFill="1" applyBorder="1" applyAlignment="1" applyProtection="1">
      <alignment horizontal="center" wrapText="1" readingOrder="1"/>
      <protection locked="0"/>
    </xf>
    <xf numFmtId="0" fontId="5" fillId="2" borderId="1" xfId="0" applyFont="1" applyFill="1" applyBorder="1" applyAlignment="1">
      <alignment horizont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 vertical="center" readingOrder="1"/>
    </xf>
    <xf numFmtId="2" fontId="5" fillId="2" borderId="1" xfId="2" applyNumberFormat="1" applyFont="1" applyFill="1" applyBorder="1" applyAlignment="1" applyProtection="1">
      <alignment horizontal="center" vertical="center" readingOrder="1"/>
      <protection locked="0"/>
    </xf>
    <xf numFmtId="2" fontId="5" fillId="2" borderId="1" xfId="27" applyNumberFormat="1" applyFont="1" applyFill="1" applyBorder="1" applyAlignment="1">
      <alignment horizontal="center" vertical="center" wrapText="1"/>
    </xf>
    <xf numFmtId="2" fontId="5" fillId="2" borderId="1" xfId="7" applyNumberFormat="1" applyFont="1" applyFill="1" applyBorder="1" applyAlignment="1">
      <alignment horizontal="center" vertical="center"/>
    </xf>
    <xf numFmtId="165" fontId="4" fillId="2" borderId="10" xfId="7" applyNumberFormat="1" applyFont="1" applyFill="1" applyBorder="1" applyAlignment="1">
      <alignment horizontal="left"/>
    </xf>
    <xf numFmtId="2" fontId="5" fillId="2" borderId="1" xfId="7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1" xfId="27" applyNumberFormat="1" applyFont="1" applyFill="1" applyBorder="1" applyAlignment="1">
      <alignment horizontal="center" vertical="center" wrapText="1"/>
    </xf>
    <xf numFmtId="2" fontId="5" fillId="0" borderId="1" xfId="27" applyNumberFormat="1" applyFont="1" applyFill="1" applyBorder="1" applyAlignment="1">
      <alignment horizontal="center" vertical="center"/>
    </xf>
    <xf numFmtId="2" fontId="5" fillId="0" borderId="1" xfId="11" applyNumberFormat="1" applyFont="1" applyFill="1" applyBorder="1" applyAlignment="1">
      <alignment horizontal="center" vertical="center"/>
    </xf>
    <xf numFmtId="165" fontId="5" fillId="0" borderId="4" xfId="11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11" applyNumberFormat="1" applyFont="1" applyFill="1" applyBorder="1" applyAlignment="1" applyProtection="1">
      <alignment horizontal="center" vertical="center" wrapText="1"/>
      <protection locked="0"/>
    </xf>
    <xf numFmtId="165" fontId="5" fillId="0" borderId="18" xfId="11" applyNumberFormat="1" applyFont="1" applyFill="1" applyBorder="1" applyAlignment="1" applyProtection="1">
      <alignment horizontal="center" vertical="center" wrapText="1"/>
      <protection locked="0"/>
    </xf>
    <xf numFmtId="165" fontId="5" fillId="0" borderId="21" xfId="11" applyNumberFormat="1" applyFont="1" applyFill="1" applyBorder="1" applyAlignment="1" applyProtection="1">
      <alignment horizontal="center" vertical="center" wrapText="1"/>
      <protection locked="0"/>
    </xf>
    <xf numFmtId="165" fontId="5" fillId="0" borderId="7" xfId="1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1" applyNumberFormat="1" applyFont="1" applyFill="1" applyBorder="1" applyAlignment="1" applyProtection="1">
      <alignment horizontal="center" vertical="center" wrapText="1"/>
      <protection locked="0"/>
    </xf>
    <xf numFmtId="165" fontId="5" fillId="0" borderId="19" xfId="11" applyNumberFormat="1" applyFont="1" applyFill="1" applyBorder="1" applyAlignment="1" applyProtection="1">
      <alignment horizontal="center" vertical="center" wrapText="1"/>
      <protection locked="0"/>
    </xf>
    <xf numFmtId="165" fontId="5" fillId="0" borderId="20" xfId="11" applyNumberFormat="1" applyFont="1" applyFill="1" applyBorder="1" applyAlignment="1" applyProtection="1">
      <alignment horizontal="center" vertical="center" wrapText="1"/>
      <protection locked="0"/>
    </xf>
    <xf numFmtId="165" fontId="5" fillId="0" borderId="12" xfId="11" applyNumberFormat="1" applyFont="1" applyFill="1" applyBorder="1" applyAlignment="1">
      <alignment horizontal="center" vertical="center"/>
    </xf>
    <xf numFmtId="165" fontId="5" fillId="0" borderId="14" xfId="11" applyNumberFormat="1" applyFont="1" applyFill="1" applyBorder="1" applyAlignment="1">
      <alignment horizontal="center" vertical="center"/>
    </xf>
    <xf numFmtId="165" fontId="5" fillId="0" borderId="6" xfId="11" applyNumberFormat="1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 applyProtection="1">
      <alignment horizontal="center" vertical="center"/>
      <protection locked="0"/>
    </xf>
    <xf numFmtId="2" fontId="5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/>
    </xf>
    <xf numFmtId="0" fontId="12" fillId="0" borderId="18" xfId="2" applyFont="1" applyFill="1" applyBorder="1" applyAlignment="1" applyProtection="1">
      <alignment horizontal="center" vertical="center" wrapText="1"/>
      <protection locked="0"/>
    </xf>
    <xf numFmtId="0" fontId="12" fillId="0" borderId="7" xfId="2" applyFont="1" applyFill="1" applyBorder="1" applyAlignment="1" applyProtection="1">
      <alignment horizontal="center" vertical="center" wrapText="1"/>
      <protection locked="0"/>
    </xf>
  </cellXfs>
  <cellStyles count="31">
    <cellStyle name="Comma 2" xfId="1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5 2" xfId="8"/>
    <cellStyle name="Normal 16" xfId="9"/>
    <cellStyle name="Normal 17" xfId="10"/>
    <cellStyle name="Normal 2" xfId="11"/>
    <cellStyle name="Normal 2 2" xfId="12"/>
    <cellStyle name="Normal 2 3" xfId="13"/>
    <cellStyle name="Normal 3" xfId="14"/>
    <cellStyle name="Normal 4" xfId="15"/>
    <cellStyle name="Normal 5" xfId="16"/>
    <cellStyle name="Normal 6" xfId="17"/>
    <cellStyle name="Normal 7" xfId="18"/>
    <cellStyle name="Normal 7 2" xfId="19"/>
    <cellStyle name="Normal 7 3" xfId="20"/>
    <cellStyle name="Normal 7 4" xfId="21"/>
    <cellStyle name="Normal 7 5" xfId="22"/>
    <cellStyle name="Normal 7 6" xfId="23"/>
    <cellStyle name="Normal 8" xfId="24"/>
    <cellStyle name="Normal 9" xfId="25"/>
    <cellStyle name="Normal_08-09(1)" xfId="26"/>
    <cellStyle name="Normal_summary 2" xfId="27"/>
    <cellStyle name="Normal_summary 2 2" xfId="28"/>
    <cellStyle name="Percent 2" xfId="29"/>
    <cellStyle name="Percent 2 2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9"/>
  <sheetViews>
    <sheetView topLeftCell="A13" zoomScaleNormal="100" workbookViewId="0">
      <selection activeCell="J13" sqref="J13"/>
    </sheetView>
  </sheetViews>
  <sheetFormatPr defaultColWidth="9" defaultRowHeight="16.5"/>
  <cols>
    <col min="1" max="1" width="27.75" style="46" bestFit="1" customWidth="1"/>
    <col min="2" max="7" width="13.75" style="46" customWidth="1"/>
    <col min="8" max="16384" width="9" style="46"/>
  </cols>
  <sheetData>
    <row r="1" spans="1:7" ht="29.45" customHeight="1">
      <c r="A1" s="347" t="s">
        <v>267</v>
      </c>
      <c r="B1" s="347"/>
      <c r="C1" s="347"/>
      <c r="D1" s="347"/>
      <c r="E1" s="347"/>
      <c r="F1" s="347"/>
      <c r="G1" s="347"/>
    </row>
    <row r="2" spans="1:7" ht="29.45" customHeight="1">
      <c r="A2" s="347" t="s">
        <v>251</v>
      </c>
      <c r="B2" s="347"/>
      <c r="C2" s="347"/>
      <c r="D2" s="347"/>
      <c r="E2" s="347"/>
      <c r="F2" s="347"/>
      <c r="G2" s="347"/>
    </row>
    <row r="3" spans="1:7">
      <c r="A3" s="348" t="s">
        <v>0</v>
      </c>
      <c r="B3" s="348"/>
      <c r="C3" s="348"/>
      <c r="D3" s="348"/>
      <c r="E3" s="348"/>
      <c r="F3" s="348"/>
      <c r="G3" s="348"/>
    </row>
    <row r="4" spans="1:7">
      <c r="A4" s="349" t="s">
        <v>255</v>
      </c>
      <c r="B4" s="349"/>
      <c r="C4" s="349"/>
      <c r="D4" s="349"/>
      <c r="E4" s="349"/>
      <c r="F4" s="349"/>
      <c r="G4" s="350"/>
    </row>
    <row r="5" spans="1:7" ht="15.6" customHeight="1">
      <c r="A5" s="47" t="s">
        <v>1</v>
      </c>
      <c r="B5" s="346" t="s">
        <v>265</v>
      </c>
      <c r="C5" s="346"/>
      <c r="D5" s="346" t="s">
        <v>256</v>
      </c>
      <c r="E5" s="346"/>
      <c r="F5" s="346" t="s">
        <v>256</v>
      </c>
      <c r="G5" s="351"/>
    </row>
    <row r="6" spans="1:7" ht="70.900000000000006" customHeight="1">
      <c r="A6" s="48"/>
      <c r="B6" s="345" t="s">
        <v>266</v>
      </c>
      <c r="C6" s="345"/>
      <c r="D6" s="345" t="s">
        <v>257</v>
      </c>
      <c r="E6" s="345"/>
      <c r="F6" s="345" t="s">
        <v>268</v>
      </c>
      <c r="G6" s="345"/>
    </row>
    <row r="7" spans="1:7">
      <c r="A7" s="49" t="s">
        <v>2</v>
      </c>
      <c r="B7" s="50" t="s">
        <v>3</v>
      </c>
      <c r="C7" s="50" t="s">
        <v>221</v>
      </c>
      <c r="D7" s="50" t="s">
        <v>3</v>
      </c>
      <c r="E7" s="50" t="s">
        <v>221</v>
      </c>
      <c r="F7" s="50" t="s">
        <v>3</v>
      </c>
      <c r="G7" s="50" t="s">
        <v>221</v>
      </c>
    </row>
    <row r="8" spans="1:7" ht="18" customHeight="1">
      <c r="A8" s="51" t="s">
        <v>4</v>
      </c>
      <c r="B8" s="52">
        <v>10.155999999999999</v>
      </c>
      <c r="C8" s="52">
        <v>11.282000000000002</v>
      </c>
      <c r="D8" s="52">
        <v>10.166067999999999</v>
      </c>
      <c r="E8" s="52">
        <v>10.880529000000001</v>
      </c>
      <c r="F8" s="52">
        <v>10.165999999999999</v>
      </c>
      <c r="G8" s="52">
        <v>10.881</v>
      </c>
    </row>
    <row r="9" spans="1:7" ht="18" customHeight="1">
      <c r="A9" s="51" t="s">
        <v>5</v>
      </c>
      <c r="B9" s="52">
        <v>100.4794</v>
      </c>
      <c r="C9" s="52">
        <v>1196.8394899999998</v>
      </c>
      <c r="D9" s="52">
        <v>100.391586</v>
      </c>
      <c r="E9" s="52">
        <v>1206.1759369999995</v>
      </c>
      <c r="F9" s="52">
        <v>104.22533999999999</v>
      </c>
      <c r="G9" s="52">
        <v>1272.1726099999998</v>
      </c>
    </row>
    <row r="10" spans="1:7" ht="18" customHeight="1">
      <c r="A10" s="51" t="s">
        <v>6</v>
      </c>
      <c r="B10" s="52">
        <v>312.62354999999997</v>
      </c>
      <c r="C10" s="52">
        <v>2275.8442600000003</v>
      </c>
      <c r="D10" s="52">
        <v>312.69779999999997</v>
      </c>
      <c r="E10" s="52">
        <v>2437.3670000000002</v>
      </c>
      <c r="F10" s="52">
        <v>312.69574999999998</v>
      </c>
      <c r="G10" s="52">
        <v>2437.2856200000001</v>
      </c>
    </row>
    <row r="11" spans="1:7" ht="18" customHeight="1">
      <c r="A11" s="51" t="s">
        <v>7</v>
      </c>
      <c r="B11" s="52">
        <v>924.13749999999993</v>
      </c>
      <c r="C11" s="52">
        <v>33061.790119999998</v>
      </c>
      <c r="D11" s="52">
        <v>879.65398000000005</v>
      </c>
      <c r="E11" s="52">
        <v>32454.126829999997</v>
      </c>
      <c r="F11" s="52">
        <v>959.26063000000022</v>
      </c>
      <c r="G11" s="52">
        <v>35130.894499999988</v>
      </c>
    </row>
    <row r="12" spans="1:7" ht="18" customHeight="1">
      <c r="A12" s="51" t="s">
        <v>8</v>
      </c>
      <c r="B12" s="52">
        <v>52.857000000000006</v>
      </c>
      <c r="C12" s="52">
        <v>579.79550000000017</v>
      </c>
      <c r="D12" s="52">
        <v>53.292000000000016</v>
      </c>
      <c r="E12" s="52">
        <v>569.85050000000012</v>
      </c>
      <c r="F12" s="52">
        <v>53.225980000000007</v>
      </c>
      <c r="G12" s="52">
        <v>585.5537700000001</v>
      </c>
    </row>
    <row r="13" spans="1:7" ht="18" customHeight="1">
      <c r="A13" s="53" t="s">
        <v>9</v>
      </c>
      <c r="B13" s="52"/>
      <c r="C13" s="52"/>
      <c r="D13" s="52"/>
      <c r="E13" s="52"/>
      <c r="F13" s="52"/>
      <c r="G13" s="52"/>
    </row>
    <row r="14" spans="1:7" ht="18" customHeight="1">
      <c r="A14" s="51" t="s">
        <v>10</v>
      </c>
      <c r="B14" s="52">
        <v>327.27799999999996</v>
      </c>
      <c r="C14" s="52">
        <v>3548.3869999999997</v>
      </c>
      <c r="D14" s="52">
        <v>322.35947099999998</v>
      </c>
      <c r="E14" s="52">
        <v>3516.7293849000002</v>
      </c>
      <c r="F14" s="52">
        <v>322.25312999999994</v>
      </c>
      <c r="G14" s="52">
        <v>3741.8881600000004</v>
      </c>
    </row>
    <row r="15" spans="1:7" ht="18" customHeight="1">
      <c r="A15" s="51" t="s">
        <v>11</v>
      </c>
      <c r="B15" s="52">
        <v>476.51099999999997</v>
      </c>
      <c r="C15" s="52">
        <v>6219.3809999999994</v>
      </c>
      <c r="D15" s="52">
        <v>472.93508799999989</v>
      </c>
      <c r="E15" s="52">
        <v>6264.6033930000012</v>
      </c>
      <c r="F15" s="52">
        <v>480.97434999999996</v>
      </c>
      <c r="G15" s="52">
        <v>6399.3328199999987</v>
      </c>
    </row>
    <row r="16" spans="1:7" ht="18" customHeight="1">
      <c r="A16" s="51" t="s">
        <v>12</v>
      </c>
      <c r="B16" s="52">
        <v>216.52800000000002</v>
      </c>
      <c r="C16" s="52">
        <v>3987.913</v>
      </c>
      <c r="D16" s="52">
        <v>220.03627100000003</v>
      </c>
      <c r="E16" s="52">
        <v>3894.0960979999995</v>
      </c>
      <c r="F16" s="52">
        <v>230.87159000000003</v>
      </c>
      <c r="G16" s="52">
        <v>4248.98693</v>
      </c>
    </row>
    <row r="17" spans="1:7" ht="18" customHeight="1">
      <c r="A17" s="51" t="s">
        <v>259</v>
      </c>
      <c r="B17" s="52">
        <v>77.16743000000001</v>
      </c>
      <c r="C17" s="52">
        <v>489.44855999999999</v>
      </c>
      <c r="D17" s="52">
        <v>76.140360000000015</v>
      </c>
      <c r="E17" s="52">
        <v>474.65145599999994</v>
      </c>
      <c r="F17" s="52">
        <v>71.643480000000011</v>
      </c>
      <c r="G17" s="52">
        <v>459.56768999999991</v>
      </c>
    </row>
    <row r="18" spans="1:7" ht="18" customHeight="1">
      <c r="A18" s="51" t="s">
        <v>13</v>
      </c>
      <c r="B18" s="54">
        <v>1097.48443</v>
      </c>
      <c r="C18" s="54">
        <v>14245.129560000001</v>
      </c>
      <c r="D18" s="54">
        <v>1091.47119</v>
      </c>
      <c r="E18" s="54">
        <v>14150.080331900001</v>
      </c>
      <c r="F18" s="54">
        <v>1105.7425499999999</v>
      </c>
      <c r="G18" s="54">
        <v>14849.775599999997</v>
      </c>
    </row>
    <row r="19" spans="1:7" ht="18" customHeight="1">
      <c r="A19" s="51" t="s">
        <v>14</v>
      </c>
      <c r="B19" s="52">
        <v>46.754000000000005</v>
      </c>
      <c r="C19" s="52">
        <v>407.28365000000002</v>
      </c>
      <c r="D19" s="52">
        <v>45.201170000000005</v>
      </c>
      <c r="E19" s="52">
        <v>387.48317100000008</v>
      </c>
      <c r="F19" s="52">
        <v>46.532829999999997</v>
      </c>
      <c r="G19" s="52">
        <v>401.92029000000002</v>
      </c>
    </row>
    <row r="20" spans="1:7" ht="18" customHeight="1">
      <c r="A20" s="51" t="s">
        <v>15</v>
      </c>
      <c r="B20" s="52">
        <v>155.30100000000002</v>
      </c>
      <c r="C20" s="52">
        <v>3357.6770000000006</v>
      </c>
      <c r="D20" s="52">
        <v>162.34261999999998</v>
      </c>
      <c r="E20" s="52">
        <v>3489.9342170000009</v>
      </c>
      <c r="F20" s="52">
        <v>161.57679000000002</v>
      </c>
      <c r="G20" s="52">
        <v>3445.2397300000007</v>
      </c>
    </row>
    <row r="21" spans="1:7" ht="18" customHeight="1">
      <c r="A21" s="51" t="s">
        <v>16</v>
      </c>
      <c r="B21" s="52">
        <v>308.09493999999995</v>
      </c>
      <c r="C21" s="52">
        <v>4582.2969600000006</v>
      </c>
      <c r="D21" s="52">
        <v>306.64176099999997</v>
      </c>
      <c r="E21" s="52">
        <v>4516.1577530000013</v>
      </c>
      <c r="F21" s="52">
        <v>314.73939000000001</v>
      </c>
      <c r="G21" s="52">
        <v>4915.8756299999995</v>
      </c>
    </row>
    <row r="22" spans="1:7" ht="18" customHeight="1">
      <c r="A22" s="51" t="s">
        <v>17</v>
      </c>
      <c r="B22" s="52">
        <v>188.18255000000002</v>
      </c>
      <c r="C22" s="52">
        <v>1893.3489999999999</v>
      </c>
      <c r="D22" s="52">
        <v>187.09148000000002</v>
      </c>
      <c r="E22" s="52">
        <v>1876.6519999999996</v>
      </c>
      <c r="F22" s="52">
        <v>188.33793000000003</v>
      </c>
      <c r="G22" s="52">
        <v>1945.9644499999997</v>
      </c>
    </row>
    <row r="23" spans="1:7" ht="18" customHeight="1">
      <c r="A23" s="51" t="s">
        <v>18</v>
      </c>
      <c r="B23" s="52">
        <v>4.8739999999999997</v>
      </c>
      <c r="C23" s="52">
        <v>15.946000000000002</v>
      </c>
      <c r="D23" s="52">
        <v>4.875</v>
      </c>
      <c r="E23" s="52">
        <v>16.616999999999997</v>
      </c>
      <c r="F23" s="52">
        <v>4.8769999999999998</v>
      </c>
      <c r="G23" s="52">
        <v>16.515999999999998</v>
      </c>
    </row>
    <row r="24" spans="1:7" ht="18" customHeight="1">
      <c r="A24" s="51" t="s">
        <v>19</v>
      </c>
      <c r="B24" s="52">
        <v>97.912440000000032</v>
      </c>
      <c r="C24" s="52">
        <v>720.12018</v>
      </c>
      <c r="D24" s="52">
        <v>98.307179999999988</v>
      </c>
      <c r="E24" s="52">
        <v>723.98102000000006</v>
      </c>
      <c r="F24" s="52">
        <v>98.577529999999996</v>
      </c>
      <c r="G24" s="52">
        <v>727.78233999999998</v>
      </c>
    </row>
    <row r="25" spans="1:7" ht="18" customHeight="1">
      <c r="A25" s="51" t="s">
        <v>260</v>
      </c>
      <c r="B25" s="52">
        <v>2316.8110999999999</v>
      </c>
      <c r="C25" s="52">
        <v>20385.992870000002</v>
      </c>
      <c r="D25" s="52">
        <v>2339.2188600000004</v>
      </c>
      <c r="E25" s="52">
        <v>20335.632530000006</v>
      </c>
      <c r="F25" s="52">
        <v>2349.5085899999999</v>
      </c>
      <c r="G25" s="52">
        <v>21011.122950000001</v>
      </c>
    </row>
    <row r="26" spans="1:7" ht="18" customHeight="1">
      <c r="A26" s="51" t="s">
        <v>20</v>
      </c>
      <c r="B26" s="52">
        <v>74.632000000000005</v>
      </c>
      <c r="C26" s="52">
        <v>1477.9656</v>
      </c>
      <c r="D26" s="52">
        <v>70.305999999999997</v>
      </c>
      <c r="E26" s="52">
        <v>1509.7276000000002</v>
      </c>
      <c r="F26" s="52">
        <v>70.122209999999995</v>
      </c>
      <c r="G26" s="52">
        <v>1544.0178699999999</v>
      </c>
    </row>
    <row r="27" spans="1:7" ht="18" customHeight="1">
      <c r="A27" s="51" t="s">
        <v>21</v>
      </c>
      <c r="B27" s="52">
        <v>145.87929</v>
      </c>
      <c r="C27" s="52">
        <v>5539.8074010000009</v>
      </c>
      <c r="D27" s="52">
        <v>149.48223000000004</v>
      </c>
      <c r="E27" s="52">
        <v>5744.2714399999986</v>
      </c>
      <c r="F27" s="52">
        <v>148.04217</v>
      </c>
      <c r="G27" s="52">
        <v>5884.8474399999977</v>
      </c>
    </row>
    <row r="28" spans="1:7" ht="18" customHeight="1">
      <c r="A28" s="51" t="s">
        <v>22</v>
      </c>
      <c r="B28" s="52">
        <v>11.071999999999999</v>
      </c>
      <c r="C28" s="52">
        <v>70.304999999999993</v>
      </c>
      <c r="D28" s="52">
        <v>11.46514</v>
      </c>
      <c r="E28" s="52">
        <v>57.379359499999993</v>
      </c>
      <c r="F28" s="52">
        <v>11.560350000000001</v>
      </c>
      <c r="G28" s="52">
        <v>57.641999999999996</v>
      </c>
    </row>
    <row r="29" spans="1:7" ht="18" customHeight="1">
      <c r="A29" s="51" t="s">
        <v>23</v>
      </c>
      <c r="B29" s="52">
        <v>18.337579999999999</v>
      </c>
      <c r="C29" s="52">
        <v>111.23036</v>
      </c>
      <c r="D29" s="52">
        <v>18.447870000000002</v>
      </c>
      <c r="E29" s="52">
        <v>108.14599999999999</v>
      </c>
      <c r="F29" s="52">
        <v>18.411029999999997</v>
      </c>
      <c r="G29" s="52">
        <v>109.82822</v>
      </c>
    </row>
    <row r="30" spans="1:7" ht="18" customHeight="1">
      <c r="A30" s="51" t="s">
        <v>24</v>
      </c>
      <c r="B30" s="52">
        <v>42.432180000000002</v>
      </c>
      <c r="C30" s="52">
        <v>276.31894</v>
      </c>
      <c r="D30" s="52">
        <v>42.261160000000004</v>
      </c>
      <c r="E30" s="52">
        <v>279.465237</v>
      </c>
      <c r="F30" s="52">
        <v>42.816319999999997</v>
      </c>
      <c r="G30" s="52">
        <v>295.63977</v>
      </c>
    </row>
    <row r="31" spans="1:7" ht="18" customHeight="1">
      <c r="A31" s="51" t="s">
        <v>25</v>
      </c>
      <c r="B31" s="52">
        <v>1.46</v>
      </c>
      <c r="C31" s="52">
        <v>0.311</v>
      </c>
      <c r="D31" s="52">
        <v>1.46</v>
      </c>
      <c r="E31" s="52">
        <v>0.38900000000000001</v>
      </c>
      <c r="F31" s="52">
        <v>1.46</v>
      </c>
      <c r="G31" s="52">
        <v>0.38900000000000001</v>
      </c>
    </row>
    <row r="32" spans="1:7" ht="18" customHeight="1">
      <c r="A32" s="51" t="s">
        <v>26</v>
      </c>
      <c r="B32" s="52">
        <v>105.58110000000001</v>
      </c>
      <c r="C32" s="52">
        <v>1798.7106199999998</v>
      </c>
      <c r="D32" s="52">
        <v>105.84610000000001</v>
      </c>
      <c r="E32" s="52">
        <v>1807.6167240000002</v>
      </c>
      <c r="F32" s="52">
        <v>105.05413000000001</v>
      </c>
      <c r="G32" s="52">
        <v>1740.7229599999998</v>
      </c>
    </row>
    <row r="33" spans="1:7" ht="18" customHeight="1">
      <c r="A33" s="51" t="s">
        <v>27</v>
      </c>
      <c r="B33" s="52">
        <v>23.510680000000001</v>
      </c>
      <c r="C33" s="52">
        <v>84.452529999999996</v>
      </c>
      <c r="D33" s="52">
        <v>23.365050000000004</v>
      </c>
      <c r="E33" s="52">
        <v>78.476920000000007</v>
      </c>
      <c r="F33" s="52">
        <v>23.472909999999999</v>
      </c>
      <c r="G33" s="52">
        <v>83.589269999999999</v>
      </c>
    </row>
    <row r="34" spans="1:7" ht="18" customHeight="1">
      <c r="A34" s="51" t="s">
        <v>28</v>
      </c>
      <c r="B34" s="52">
        <v>287.99099999999999</v>
      </c>
      <c r="C34" s="52">
        <v>3270.5030000000002</v>
      </c>
      <c r="D34" s="52">
        <v>282.12426999999997</v>
      </c>
      <c r="E34" s="52">
        <v>3215.952702</v>
      </c>
      <c r="F34" s="52">
        <v>278.23528999999996</v>
      </c>
      <c r="G34" s="52">
        <v>3187.578</v>
      </c>
    </row>
    <row r="35" spans="1:7" ht="18" customHeight="1">
      <c r="A35" s="51" t="s">
        <v>29</v>
      </c>
      <c r="B35" s="52">
        <v>78.624000000000009</v>
      </c>
      <c r="C35" s="52">
        <v>822.00399999999991</v>
      </c>
      <c r="D35" s="52">
        <v>80.254857999999999</v>
      </c>
      <c r="E35" s="52">
        <v>834.06434399999978</v>
      </c>
      <c r="F35" s="52">
        <v>77.86497</v>
      </c>
      <c r="G35" s="52">
        <v>862.81035999999983</v>
      </c>
    </row>
    <row r="36" spans="1:7" ht="18" customHeight="1">
      <c r="A36" s="51" t="s">
        <v>30</v>
      </c>
      <c r="B36" s="52">
        <v>3.3089999999999997</v>
      </c>
      <c r="C36" s="52">
        <v>19.835000000000001</v>
      </c>
      <c r="D36" s="52">
        <v>2.5552099999999993</v>
      </c>
      <c r="E36" s="52">
        <v>13.523050000000003</v>
      </c>
      <c r="F36" s="52">
        <v>2.5731599999999997</v>
      </c>
      <c r="G36" s="52">
        <v>13.605960000000001</v>
      </c>
    </row>
    <row r="37" spans="1:7" ht="18" customHeight="1">
      <c r="A37" s="51" t="s">
        <v>31</v>
      </c>
      <c r="B37" s="52">
        <v>108.53511</v>
      </c>
      <c r="C37" s="52">
        <v>281.48239000000001</v>
      </c>
      <c r="D37" s="52">
        <v>108.535</v>
      </c>
      <c r="E37" s="52">
        <v>282.21100000000001</v>
      </c>
      <c r="F37" s="52">
        <v>108.53516999999999</v>
      </c>
      <c r="G37" s="52">
        <v>282.21146000000005</v>
      </c>
    </row>
    <row r="38" spans="1:7" ht="18" customHeight="1">
      <c r="A38" s="51" t="s">
        <v>32</v>
      </c>
      <c r="B38" s="52">
        <v>119.02999999999999</v>
      </c>
      <c r="C38" s="52">
        <v>3254.2069000000001</v>
      </c>
      <c r="D38" s="52">
        <v>120.47579799999998</v>
      </c>
      <c r="E38" s="52">
        <v>3225.4481960000003</v>
      </c>
      <c r="F38" s="52">
        <v>122.56345</v>
      </c>
      <c r="G38" s="52">
        <v>3460.59177</v>
      </c>
    </row>
    <row r="39" spans="1:7" ht="18" customHeight="1">
      <c r="A39" s="51" t="s">
        <v>261</v>
      </c>
      <c r="B39" s="52">
        <v>293.66712000000001</v>
      </c>
      <c r="C39" s="52">
        <v>2740.6873700000006</v>
      </c>
      <c r="D39" s="52">
        <v>359.39442400000019</v>
      </c>
      <c r="E39" s="52">
        <v>3591.9508619999997</v>
      </c>
      <c r="F39" s="52">
        <v>298.93429000000003</v>
      </c>
      <c r="G39" s="52">
        <v>2827.6213299999999</v>
      </c>
    </row>
    <row r="40" spans="1:7" ht="18" customHeight="1">
      <c r="A40" s="55" t="s">
        <v>33</v>
      </c>
      <c r="B40" s="54">
        <v>6929.7289699999992</v>
      </c>
      <c r="C40" s="54">
        <v>102481.16670099999</v>
      </c>
      <c r="D40" s="54">
        <v>6967.323805</v>
      </c>
      <c r="E40" s="54">
        <v>102923.56125339998</v>
      </c>
      <c r="F40" s="54">
        <v>7019.1117599999989</v>
      </c>
      <c r="G40" s="54">
        <v>107102.07989999998</v>
      </c>
    </row>
    <row r="41" spans="1:7" ht="18" customHeight="1">
      <c r="A41" s="53" t="s">
        <v>34</v>
      </c>
      <c r="B41" s="52"/>
      <c r="C41" s="52"/>
      <c r="D41" s="52"/>
      <c r="E41" s="52"/>
      <c r="F41" s="52"/>
      <c r="G41" s="52"/>
    </row>
    <row r="42" spans="1:7" ht="18" customHeight="1">
      <c r="A42" s="51" t="s">
        <v>35</v>
      </c>
      <c r="B42" s="52">
        <v>260.94955000000004</v>
      </c>
      <c r="C42" s="52">
        <v>2594.6762190000004</v>
      </c>
      <c r="D42" s="52">
        <v>255.5446</v>
      </c>
      <c r="E42" s="52">
        <v>2519.8635344999993</v>
      </c>
      <c r="F42" s="52">
        <v>297.34814999999998</v>
      </c>
      <c r="G42" s="52">
        <v>2743.6628899999996</v>
      </c>
    </row>
    <row r="43" spans="1:7" ht="18" customHeight="1">
      <c r="A43" s="51" t="s">
        <v>36</v>
      </c>
      <c r="B43" s="52">
        <v>108.86430000000003</v>
      </c>
      <c r="C43" s="52">
        <v>1330.2067800000004</v>
      </c>
      <c r="D43" s="52">
        <v>106.91363600000001</v>
      </c>
      <c r="E43" s="52">
        <v>1333.5292404699999</v>
      </c>
      <c r="F43" s="52">
        <v>109.81396000000001</v>
      </c>
      <c r="G43" s="52">
        <v>1369.1210100000001</v>
      </c>
    </row>
    <row r="44" spans="1:7" ht="18" customHeight="1">
      <c r="A44" s="51" t="s">
        <v>37</v>
      </c>
      <c r="B44" s="52">
        <v>192.91242999999997</v>
      </c>
      <c r="C44" s="52">
        <v>3171.0874700000004</v>
      </c>
      <c r="D44" s="52">
        <v>191.88042000000002</v>
      </c>
      <c r="E44" s="52">
        <v>3142.725956799999</v>
      </c>
      <c r="F44" s="52">
        <v>193.10455999999999</v>
      </c>
      <c r="G44" s="52">
        <v>3170.5845400000003</v>
      </c>
    </row>
    <row r="45" spans="1:7" ht="18" customHeight="1">
      <c r="A45" s="51" t="s">
        <v>38</v>
      </c>
      <c r="B45" s="52">
        <v>749.49648999999999</v>
      </c>
      <c r="C45" s="52">
        <v>12873.79703</v>
      </c>
      <c r="D45" s="52">
        <v>743.67681300000004</v>
      </c>
      <c r="E45" s="52">
        <v>12767.519554000002</v>
      </c>
      <c r="F45" s="52">
        <v>747.28496999999993</v>
      </c>
      <c r="G45" s="52">
        <v>12982.352620000003</v>
      </c>
    </row>
    <row r="46" spans="1:7" ht="18" customHeight="1">
      <c r="A46" s="51" t="s">
        <v>39</v>
      </c>
      <c r="B46" s="52">
        <v>412.39652999999998</v>
      </c>
      <c r="C46" s="52">
        <v>9560.0057449999986</v>
      </c>
      <c r="D46" s="52">
        <v>412.76852200000013</v>
      </c>
      <c r="E46" s="52">
        <v>9606.2060520000014</v>
      </c>
      <c r="F46" s="52">
        <v>417.52506999999997</v>
      </c>
      <c r="G46" s="52">
        <v>9714.8142350000016</v>
      </c>
    </row>
    <row r="47" spans="1:7" ht="18" customHeight="1">
      <c r="A47" s="51" t="s">
        <v>40</v>
      </c>
      <c r="B47" s="52">
        <v>37.152210000000004</v>
      </c>
      <c r="C47" s="52">
        <v>562.97449999999992</v>
      </c>
      <c r="D47" s="52">
        <v>37.563380000000002</v>
      </c>
      <c r="E47" s="52">
        <v>563.04786999999999</v>
      </c>
      <c r="F47" s="52">
        <v>36.246949999999991</v>
      </c>
      <c r="G47" s="52">
        <v>565.49621999999988</v>
      </c>
    </row>
    <row r="48" spans="1:7" ht="18" customHeight="1">
      <c r="A48" s="51" t="s">
        <v>41</v>
      </c>
      <c r="B48" s="52">
        <v>108.39324000000001</v>
      </c>
      <c r="C48" s="52">
        <v>1884.5644920000002</v>
      </c>
      <c r="D48" s="52">
        <v>110.21645999999998</v>
      </c>
      <c r="E48" s="52">
        <v>1910.2431660000002</v>
      </c>
      <c r="F48" s="52">
        <v>107.61051</v>
      </c>
      <c r="G48" s="52">
        <v>1867.2737420000001</v>
      </c>
    </row>
    <row r="49" spans="1:7" ht="18" customHeight="1">
      <c r="A49" s="51" t="s">
        <v>42</v>
      </c>
      <c r="B49" s="52">
        <v>472.64272</v>
      </c>
      <c r="C49" s="52">
        <v>9224.6838621000024</v>
      </c>
      <c r="D49" s="52">
        <v>472.79568800000004</v>
      </c>
      <c r="E49" s="52">
        <v>9282.7542829999984</v>
      </c>
      <c r="F49" s="52">
        <v>479.28875000000005</v>
      </c>
      <c r="G49" s="52">
        <v>9436.69247</v>
      </c>
    </row>
    <row r="50" spans="1:7" ht="18" customHeight="1">
      <c r="A50" s="51" t="s">
        <v>43</v>
      </c>
      <c r="B50" s="52">
        <v>116.61513000000001</v>
      </c>
      <c r="C50" s="52">
        <v>1651.9153030000004</v>
      </c>
      <c r="D50" s="52">
        <v>116.25618100000001</v>
      </c>
      <c r="E50" s="52">
        <v>1608.2920160000001</v>
      </c>
      <c r="F50" s="52">
        <v>113.31656000000001</v>
      </c>
      <c r="G50" s="52">
        <v>1637.7871300000004</v>
      </c>
    </row>
    <row r="51" spans="1:7" ht="18" customHeight="1">
      <c r="A51" s="51" t="s">
        <v>44</v>
      </c>
      <c r="B51" s="52">
        <v>410.90238000000011</v>
      </c>
      <c r="C51" s="52">
        <v>4363.169852</v>
      </c>
      <c r="D51" s="52">
        <v>400.42083100000002</v>
      </c>
      <c r="E51" s="52">
        <v>4220.7057930000001</v>
      </c>
      <c r="F51" s="52">
        <v>405.36783000000003</v>
      </c>
      <c r="G51" s="52">
        <v>4272.4136999999992</v>
      </c>
    </row>
    <row r="52" spans="1:7" ht="18" customHeight="1">
      <c r="A52" s="51" t="s">
        <v>45</v>
      </c>
      <c r="B52" s="52">
        <v>38.383800000000001</v>
      </c>
      <c r="C52" s="52">
        <v>874.21077700000001</v>
      </c>
      <c r="D52" s="52">
        <v>34.968026999999999</v>
      </c>
      <c r="E52" s="52">
        <v>819.29921499999989</v>
      </c>
      <c r="F52" s="52">
        <v>41.491569999999996</v>
      </c>
      <c r="G52" s="52">
        <v>928.11965999999984</v>
      </c>
    </row>
    <row r="53" spans="1:7" ht="18" customHeight="1">
      <c r="A53" s="51" t="s">
        <v>249</v>
      </c>
      <c r="B53" s="52"/>
      <c r="C53" s="52">
        <v>242.87000000000003</v>
      </c>
      <c r="D53" s="52"/>
      <c r="E53" s="52">
        <v>258.81000000000006</v>
      </c>
      <c r="F53" s="52"/>
      <c r="G53" s="52">
        <v>236.45</v>
      </c>
    </row>
    <row r="54" spans="1:7" ht="18" customHeight="1">
      <c r="A54" s="51" t="s">
        <v>46</v>
      </c>
      <c r="B54" s="52">
        <v>530.61472999999989</v>
      </c>
      <c r="C54" s="52">
        <v>6465.5875440000018</v>
      </c>
      <c r="D54" s="52">
        <v>522.76431600000001</v>
      </c>
      <c r="E54" s="52">
        <v>6416.3342789999979</v>
      </c>
      <c r="F54" s="52">
        <v>545.95231000000001</v>
      </c>
      <c r="G54" s="52">
        <v>6700.2447100000009</v>
      </c>
    </row>
    <row r="55" spans="1:7" ht="18" customHeight="1">
      <c r="A55" s="51" t="s">
        <v>47</v>
      </c>
      <c r="B55" s="52">
        <v>1624.2886899999999</v>
      </c>
      <c r="C55" s="52">
        <v>26640.996423499997</v>
      </c>
      <c r="D55" s="52">
        <v>1914.2271300000002</v>
      </c>
      <c r="E55" s="52">
        <v>31128.898349999996</v>
      </c>
      <c r="F55" s="52">
        <v>1939.6072700000002</v>
      </c>
      <c r="G55" s="52">
        <v>31702.92376999999</v>
      </c>
    </row>
    <row r="56" spans="1:7" ht="18" customHeight="1">
      <c r="A56" s="51" t="s">
        <v>240</v>
      </c>
      <c r="B56" s="52">
        <v>61.543999999999997</v>
      </c>
      <c r="C56" s="52">
        <v>725.3180000000001</v>
      </c>
      <c r="D56" s="52">
        <v>60.841000000000001</v>
      </c>
      <c r="E56" s="52">
        <v>740.80911000000003</v>
      </c>
      <c r="F56" s="52">
        <v>62.852280000000007</v>
      </c>
      <c r="G56" s="52">
        <v>752.19185000000004</v>
      </c>
    </row>
    <row r="57" spans="1:7" ht="18" customHeight="1">
      <c r="A57" s="51" t="s">
        <v>48</v>
      </c>
      <c r="B57" s="52">
        <v>567.32434999999987</v>
      </c>
      <c r="C57" s="52">
        <v>5845.9139987999997</v>
      </c>
      <c r="D57" s="52">
        <v>548.76067999999987</v>
      </c>
      <c r="E57" s="52">
        <v>5679.8335357999986</v>
      </c>
      <c r="F57" s="52">
        <v>582.49026000000003</v>
      </c>
      <c r="G57" s="52">
        <v>6075.5439387999995</v>
      </c>
    </row>
    <row r="58" spans="1:7" ht="18" customHeight="1">
      <c r="A58" s="51" t="s">
        <v>49</v>
      </c>
      <c r="B58" s="52">
        <v>2203.0344600000003</v>
      </c>
      <c r="C58" s="52">
        <v>56172.543560999991</v>
      </c>
      <c r="D58" s="52">
        <v>2207.8017600000003</v>
      </c>
      <c r="E58" s="52">
        <v>53602.560931000007</v>
      </c>
      <c r="F58" s="52">
        <v>2199.8588200000004</v>
      </c>
      <c r="G58" s="52">
        <v>53574.980941000002</v>
      </c>
    </row>
    <row r="59" spans="1:7" ht="18" customHeight="1">
      <c r="A59" s="51" t="s">
        <v>50</v>
      </c>
      <c r="B59" s="52">
        <v>206.95436999999998</v>
      </c>
      <c r="C59" s="52">
        <v>3262.7641600000002</v>
      </c>
      <c r="D59" s="52">
        <v>209.21253000000002</v>
      </c>
      <c r="E59" s="52">
        <v>3346.692</v>
      </c>
      <c r="F59" s="52">
        <v>206.38682</v>
      </c>
      <c r="G59" s="52">
        <v>3303.9388600000007</v>
      </c>
    </row>
    <row r="60" spans="1:7" ht="18" customHeight="1">
      <c r="A60" s="51" t="s">
        <v>51</v>
      </c>
      <c r="B60" s="52">
        <v>105.68892000000001</v>
      </c>
      <c r="C60" s="52">
        <v>2204.8714980000004</v>
      </c>
      <c r="D60" s="52">
        <v>106.29238000000002</v>
      </c>
      <c r="E60" s="52">
        <v>2218.3964919999999</v>
      </c>
      <c r="F60" s="52">
        <v>108.80683000000001</v>
      </c>
      <c r="G60" s="52">
        <v>2299.3161100000002</v>
      </c>
    </row>
    <row r="61" spans="1:7" ht="18" customHeight="1">
      <c r="A61" s="51" t="s">
        <v>52</v>
      </c>
      <c r="B61" s="52">
        <v>106.21100000000001</v>
      </c>
      <c r="C61" s="52">
        <v>1121.3255179999999</v>
      </c>
      <c r="D61" s="52">
        <v>105.89127300000001</v>
      </c>
      <c r="E61" s="52">
        <v>1119.240491882</v>
      </c>
      <c r="F61" s="52">
        <v>106.35606000000003</v>
      </c>
      <c r="G61" s="52">
        <v>1159.2998799999998</v>
      </c>
    </row>
    <row r="62" spans="1:7" ht="18" customHeight="1">
      <c r="A62" s="51" t="s">
        <v>53</v>
      </c>
      <c r="B62" s="52">
        <v>183.33600000000001</v>
      </c>
      <c r="C62" s="52">
        <v>6940.902000000001</v>
      </c>
      <c r="D62" s="52">
        <v>134.09034</v>
      </c>
      <c r="E62" s="52">
        <v>4741.52351</v>
      </c>
      <c r="F62" s="52">
        <v>186.37659000000002</v>
      </c>
      <c r="G62" s="52">
        <v>6852.9588000000003</v>
      </c>
    </row>
    <row r="63" spans="1:7" ht="18" customHeight="1">
      <c r="A63" s="51" t="s">
        <v>262</v>
      </c>
      <c r="B63" s="52">
        <v>844.59734000000003</v>
      </c>
      <c r="C63" s="52">
        <v>21180.510205999999</v>
      </c>
      <c r="D63" s="52">
        <v>830.74717500000008</v>
      </c>
      <c r="E63" s="52">
        <v>20300.196034400004</v>
      </c>
      <c r="F63" s="52">
        <v>840.73762999999997</v>
      </c>
      <c r="G63" s="52">
        <v>20335.767370000001</v>
      </c>
    </row>
    <row r="64" spans="1:7" ht="18" customHeight="1">
      <c r="A64" s="51" t="s">
        <v>263</v>
      </c>
      <c r="B64" s="52">
        <v>1517.1132400000004</v>
      </c>
      <c r="C64" s="52">
        <v>21550.333895799999</v>
      </c>
      <c r="D64" s="52">
        <v>1541.4272490000003</v>
      </c>
      <c r="E64" s="52">
        <v>22555.005693999999</v>
      </c>
      <c r="F64" s="52">
        <v>1552.2677600000002</v>
      </c>
      <c r="G64" s="52">
        <v>22931.188208999993</v>
      </c>
    </row>
    <row r="65" spans="1:7" ht="18" customHeight="1">
      <c r="A65" s="55" t="s">
        <v>54</v>
      </c>
      <c r="B65" s="54">
        <v>10859.415879999999</v>
      </c>
      <c r="C65" s="54">
        <v>200445.22883519999</v>
      </c>
      <c r="D65" s="54">
        <v>11065.060391000003</v>
      </c>
      <c r="E65" s="54">
        <v>199882.48710885199</v>
      </c>
      <c r="F65" s="54">
        <v>11280.09151</v>
      </c>
      <c r="G65" s="54">
        <v>204613.12265579996</v>
      </c>
    </row>
    <row r="66" spans="1:7" ht="18" customHeight="1">
      <c r="A66" s="51"/>
      <c r="B66" s="52"/>
      <c r="C66" s="52"/>
      <c r="D66" s="52"/>
      <c r="E66" s="52"/>
      <c r="F66" s="52"/>
      <c r="G66" s="52"/>
    </row>
    <row r="67" spans="1:7" ht="18" customHeight="1">
      <c r="A67" s="53" t="s">
        <v>231</v>
      </c>
      <c r="B67" s="54">
        <v>653.20469000000003</v>
      </c>
      <c r="C67" s="54">
        <v>824.99462200000005</v>
      </c>
      <c r="D67" s="54">
        <v>649.71161000000006</v>
      </c>
      <c r="E67" s="54">
        <v>766.60093199999994</v>
      </c>
      <c r="F67" s="54">
        <v>582.53278999999998</v>
      </c>
      <c r="G67" s="54">
        <v>561.31927200000007</v>
      </c>
    </row>
    <row r="68" spans="1:7" ht="18" customHeight="1">
      <c r="A68" s="51"/>
      <c r="B68" s="52"/>
      <c r="C68" s="52"/>
      <c r="D68" s="52"/>
      <c r="E68" s="52"/>
      <c r="F68" s="52"/>
      <c r="G68" s="52"/>
    </row>
    <row r="69" spans="1:7" ht="18" customHeight="1">
      <c r="A69" s="51"/>
      <c r="B69" s="52"/>
      <c r="C69" s="52"/>
      <c r="D69" s="52"/>
      <c r="E69" s="52"/>
      <c r="F69" s="52"/>
      <c r="G69" s="52"/>
    </row>
    <row r="70" spans="1:7" ht="18" customHeight="1">
      <c r="A70" s="51" t="s">
        <v>55</v>
      </c>
      <c r="B70" s="52"/>
      <c r="C70" s="52">
        <v>828.08571316121834</v>
      </c>
      <c r="D70" s="52"/>
      <c r="E70" s="52">
        <v>790.96445922409998</v>
      </c>
      <c r="F70" s="52"/>
      <c r="G70" s="52">
        <v>637.82596463496679</v>
      </c>
    </row>
    <row r="71" spans="1:7" ht="18" customHeight="1">
      <c r="A71" s="51" t="s">
        <v>56</v>
      </c>
      <c r="B71" s="52">
        <v>322.02100100000001</v>
      </c>
      <c r="C71" s="52">
        <v>2151.9572509999998</v>
      </c>
      <c r="D71" s="52">
        <v>266.61596100000003</v>
      </c>
      <c r="E71" s="52">
        <v>2095.1572509999992</v>
      </c>
      <c r="F71" s="52">
        <v>275.54190699999998</v>
      </c>
      <c r="G71" s="52">
        <v>2298.0598009999999</v>
      </c>
    </row>
    <row r="72" spans="1:7" ht="18" customHeight="1">
      <c r="A72" s="55" t="s">
        <v>57</v>
      </c>
      <c r="B72" s="54">
        <v>322.02100100000001</v>
      </c>
      <c r="C72" s="54">
        <v>2980.0429641612182</v>
      </c>
      <c r="D72" s="54">
        <v>266.61596100000003</v>
      </c>
      <c r="E72" s="54">
        <v>2886.1217102240989</v>
      </c>
      <c r="F72" s="54">
        <v>275.54190699999998</v>
      </c>
      <c r="G72" s="54">
        <v>2935.8857656349664</v>
      </c>
    </row>
    <row r="73" spans="1:7" ht="18" customHeight="1">
      <c r="A73" s="51"/>
      <c r="B73" s="52"/>
      <c r="C73" s="52"/>
      <c r="D73" s="52"/>
      <c r="E73" s="52"/>
      <c r="F73" s="52"/>
      <c r="G73" s="52"/>
    </row>
    <row r="74" spans="1:7" ht="18" customHeight="1">
      <c r="A74" s="53" t="s">
        <v>58</v>
      </c>
      <c r="B74" s="52"/>
      <c r="C74" s="54">
        <v>125.005</v>
      </c>
      <c r="D74" s="54"/>
      <c r="E74" s="54">
        <v>125.005</v>
      </c>
      <c r="F74" s="54"/>
      <c r="G74" s="54">
        <v>133.19998999999999</v>
      </c>
    </row>
    <row r="75" spans="1:7" ht="18" customHeight="1">
      <c r="A75" s="51"/>
      <c r="B75" s="52"/>
      <c r="C75" s="52"/>
      <c r="D75" s="52"/>
      <c r="E75" s="52"/>
      <c r="F75" s="52"/>
      <c r="G75" s="52"/>
    </row>
    <row r="76" spans="1:7" ht="18" customHeight="1">
      <c r="A76" s="53" t="s">
        <v>59</v>
      </c>
      <c r="B76" s="52"/>
      <c r="C76" s="52"/>
      <c r="D76" s="52"/>
      <c r="E76" s="52"/>
      <c r="F76" s="52"/>
      <c r="G76" s="52"/>
    </row>
    <row r="77" spans="1:7" ht="18" customHeight="1">
      <c r="A77" s="51" t="s">
        <v>254</v>
      </c>
      <c r="B77" s="52">
        <v>793.51099999999997</v>
      </c>
      <c r="C77" s="52">
        <v>1563.155</v>
      </c>
      <c r="D77" s="52">
        <v>774.45900000000006</v>
      </c>
      <c r="E77" s="52">
        <v>1392.702</v>
      </c>
      <c r="F77" s="52">
        <v>777.09100000000001</v>
      </c>
      <c r="G77" s="52">
        <v>1399.318</v>
      </c>
    </row>
    <row r="78" spans="1:7" ht="18" customHeight="1">
      <c r="A78" s="51" t="s">
        <v>60</v>
      </c>
      <c r="B78" s="52">
        <v>1158.8999999999999</v>
      </c>
      <c r="C78" s="52">
        <v>738</v>
      </c>
      <c r="D78" s="52">
        <v>1165.6999999999998</v>
      </c>
      <c r="E78" s="52">
        <v>773.49999999999989</v>
      </c>
      <c r="F78" s="52">
        <v>1174.4199999999998</v>
      </c>
      <c r="G78" s="52">
        <v>674.97820000000002</v>
      </c>
    </row>
    <row r="79" spans="1:7" ht="18" customHeight="1">
      <c r="A79" s="51" t="s">
        <v>61</v>
      </c>
      <c r="B79" s="52">
        <v>103.4</v>
      </c>
      <c r="C79" s="52">
        <v>27.000000000000004</v>
      </c>
      <c r="D79" s="52">
        <v>101.5</v>
      </c>
      <c r="E79" s="52">
        <v>28.299999999999997</v>
      </c>
      <c r="F79" s="52">
        <v>106.09</v>
      </c>
      <c r="G79" s="52">
        <v>28.426000000000002</v>
      </c>
    </row>
    <row r="80" spans="1:7" ht="18" customHeight="1">
      <c r="A80" s="51" t="s">
        <v>264</v>
      </c>
      <c r="B80" s="52">
        <v>2198.9790000000003</v>
      </c>
      <c r="C80" s="52">
        <v>14300.775553076986</v>
      </c>
      <c r="D80" s="52">
        <v>2228.9830000000002</v>
      </c>
      <c r="E80" s="52">
        <v>13657.372570197353</v>
      </c>
      <c r="F80" s="52">
        <v>2109.7128800000005</v>
      </c>
      <c r="G80" s="52">
        <v>13273.94647048526</v>
      </c>
    </row>
    <row r="81" spans="1:7" ht="18" customHeight="1">
      <c r="A81" s="55" t="s">
        <v>62</v>
      </c>
      <c r="B81" s="54">
        <v>4254.79</v>
      </c>
      <c r="C81" s="54">
        <v>16628.930553076985</v>
      </c>
      <c r="D81" s="54">
        <v>4270.6419999999998</v>
      </c>
      <c r="E81" s="54">
        <v>15851.874570197353</v>
      </c>
      <c r="F81" s="54">
        <v>4167.3138800000006</v>
      </c>
      <c r="G81" s="54">
        <v>15376.66867048526</v>
      </c>
    </row>
    <row r="82" spans="1:7" ht="18" customHeight="1">
      <c r="A82" s="51"/>
      <c r="B82" s="52"/>
      <c r="C82" s="52"/>
      <c r="D82" s="52"/>
      <c r="E82" s="52"/>
      <c r="F82" s="52"/>
      <c r="G82" s="52"/>
    </row>
    <row r="83" spans="1:7" ht="18" customHeight="1">
      <c r="A83" s="53" t="s">
        <v>63</v>
      </c>
      <c r="B83" s="52"/>
      <c r="C83" s="52"/>
      <c r="D83" s="52"/>
      <c r="E83" s="52"/>
      <c r="F83" s="52"/>
      <c r="G83" s="52"/>
    </row>
    <row r="84" spans="1:7" ht="18" customHeight="1">
      <c r="A84" s="51" t="s">
        <v>230</v>
      </c>
      <c r="B84" s="52">
        <v>42.008000000000003</v>
      </c>
      <c r="C84" s="52">
        <v>35.568999999999996</v>
      </c>
      <c r="D84" s="52">
        <v>39.5884</v>
      </c>
      <c r="E84" s="52">
        <v>28.229814000000001</v>
      </c>
      <c r="F84" s="52">
        <v>39.394399999999997</v>
      </c>
      <c r="G84" s="52">
        <v>28.175814000000003</v>
      </c>
    </row>
    <row r="85" spans="1:7" ht="18" customHeight="1">
      <c r="A85" s="51" t="s">
        <v>64</v>
      </c>
      <c r="B85" s="52">
        <v>85.010220000000004</v>
      </c>
      <c r="C85" s="52">
        <v>33.954979999999999</v>
      </c>
      <c r="D85" s="52">
        <v>84.158937999999992</v>
      </c>
      <c r="E85" s="52">
        <v>26.498652</v>
      </c>
      <c r="F85" s="52">
        <v>85.737117999999995</v>
      </c>
      <c r="G85" s="52">
        <v>26.780972000000002</v>
      </c>
    </row>
    <row r="86" spans="1:7" ht="18" customHeight="1">
      <c r="A86" s="51" t="s">
        <v>269</v>
      </c>
      <c r="B86" s="52">
        <v>702.04748000000006</v>
      </c>
      <c r="C86" s="52">
        <v>2049.2127225000004</v>
      </c>
      <c r="D86" s="52">
        <v>678.48785599999985</v>
      </c>
      <c r="E86" s="52">
        <v>1874.0017584999996</v>
      </c>
      <c r="F86" s="52">
        <v>694.31253399999991</v>
      </c>
      <c r="G86" s="52">
        <v>1866.1078284999999</v>
      </c>
    </row>
    <row r="87" spans="1:7" ht="18" customHeight="1">
      <c r="A87" s="51" t="s">
        <v>65</v>
      </c>
      <c r="B87" s="52">
        <v>1.95574</v>
      </c>
      <c r="C87" s="52">
        <v>4.8796200000000001</v>
      </c>
      <c r="D87" s="52">
        <v>2.6669399999999999</v>
      </c>
      <c r="E87" s="52">
        <v>6.0205601920000005</v>
      </c>
      <c r="F87" s="52">
        <v>1.6594519999999999</v>
      </c>
      <c r="G87" s="52">
        <v>3.9738141920000003</v>
      </c>
    </row>
    <row r="88" spans="1:7" ht="18" customHeight="1">
      <c r="A88" s="51" t="s">
        <v>66</v>
      </c>
      <c r="B88" s="52">
        <v>25.278500000000001</v>
      </c>
      <c r="C88" s="52">
        <v>30.509499999999999</v>
      </c>
      <c r="D88" s="52">
        <v>25.1938</v>
      </c>
      <c r="E88" s="52">
        <v>30.398911999999999</v>
      </c>
      <c r="F88" s="52">
        <v>25.219799999999999</v>
      </c>
      <c r="G88" s="52">
        <v>30.408111999999999</v>
      </c>
    </row>
    <row r="89" spans="1:7" ht="18" customHeight="1">
      <c r="A89" s="51" t="s">
        <v>67</v>
      </c>
      <c r="B89" s="52">
        <v>1.9372199999999999</v>
      </c>
      <c r="C89" s="52">
        <v>1.17936</v>
      </c>
      <c r="D89" s="52">
        <v>2.1302539999999999</v>
      </c>
      <c r="E89" s="52">
        <v>1.2030071999999998</v>
      </c>
      <c r="F89" s="52">
        <v>2.2101839999999999</v>
      </c>
      <c r="G89" s="52">
        <v>1.3352792</v>
      </c>
    </row>
    <row r="90" spans="1:7" ht="18" customHeight="1">
      <c r="A90" s="51" t="s">
        <v>68</v>
      </c>
      <c r="B90" s="52">
        <v>656.45794749999982</v>
      </c>
      <c r="C90" s="52">
        <v>891.31700000000012</v>
      </c>
      <c r="D90" s="52">
        <v>639.5034495000001</v>
      </c>
      <c r="E90" s="52">
        <v>811.04272399999991</v>
      </c>
      <c r="F90" s="52">
        <v>631.69794949999994</v>
      </c>
      <c r="G90" s="52">
        <v>800.74234999999999</v>
      </c>
    </row>
    <row r="91" spans="1:7" ht="18" customHeight="1">
      <c r="A91" s="51" t="s">
        <v>69</v>
      </c>
      <c r="B91" s="52">
        <v>1087.0099999999998</v>
      </c>
      <c r="C91" s="52">
        <v>795.30975000000001</v>
      </c>
      <c r="D91" s="52">
        <v>1036.6605999999999</v>
      </c>
      <c r="E91" s="52">
        <v>725.42565000000002</v>
      </c>
      <c r="F91" s="52">
        <v>1036.7130000000002</v>
      </c>
      <c r="G91" s="52">
        <v>725.6507499999999</v>
      </c>
    </row>
    <row r="92" spans="1:7" ht="18" customHeight="1">
      <c r="A92" s="51" t="s">
        <v>70</v>
      </c>
      <c r="B92" s="52">
        <v>156.15629749999999</v>
      </c>
      <c r="C92" s="52">
        <v>241.18333999999999</v>
      </c>
      <c r="D92" s="52">
        <v>168.691754</v>
      </c>
      <c r="E92" s="52">
        <v>252.01622599999999</v>
      </c>
      <c r="F92" s="52">
        <v>167.46795399999999</v>
      </c>
      <c r="G92" s="52">
        <v>248.20262599999998</v>
      </c>
    </row>
    <row r="93" spans="1:7" ht="18" customHeight="1">
      <c r="A93" s="51" t="s">
        <v>71</v>
      </c>
      <c r="B93" s="52">
        <v>82.766750000000002</v>
      </c>
      <c r="C93" s="52">
        <v>137.38800000000001</v>
      </c>
      <c r="D93" s="52">
        <v>82.173599999999993</v>
      </c>
      <c r="E93" s="52">
        <v>137.28759200000002</v>
      </c>
      <c r="F93" s="52">
        <v>82.22420000000001</v>
      </c>
      <c r="G93" s="52">
        <v>137.28039200000001</v>
      </c>
    </row>
    <row r="94" spans="1:7" ht="18" customHeight="1">
      <c r="A94" s="51" t="s">
        <v>72</v>
      </c>
      <c r="B94" s="52">
        <v>392.14924000000002</v>
      </c>
      <c r="C94" s="52">
        <v>3189.7767699999999</v>
      </c>
      <c r="D94" s="52">
        <v>392.51399999999995</v>
      </c>
      <c r="E94" s="52">
        <v>3207.8906539999998</v>
      </c>
      <c r="F94" s="52">
        <v>401.16687999999994</v>
      </c>
      <c r="G94" s="52">
        <v>3277.4275640000001</v>
      </c>
    </row>
    <row r="95" spans="1:7" ht="18" customHeight="1">
      <c r="A95" s="51" t="s">
        <v>248</v>
      </c>
      <c r="B95" s="52">
        <v>204.83946</v>
      </c>
      <c r="C95" s="52">
        <v>2224.837</v>
      </c>
      <c r="D95" s="52">
        <v>192.63923000000003</v>
      </c>
      <c r="E95" s="52">
        <v>2219.4684359999997</v>
      </c>
      <c r="F95" s="52">
        <v>190.685472</v>
      </c>
      <c r="G95" s="52">
        <v>2120.6429640000001</v>
      </c>
    </row>
    <row r="96" spans="1:7" ht="18" customHeight="1">
      <c r="A96" s="51" t="s">
        <v>73</v>
      </c>
      <c r="B96" s="52">
        <v>24.430540000000001</v>
      </c>
      <c r="C96" s="52">
        <v>15.594709999999999</v>
      </c>
      <c r="D96" s="52">
        <v>23.812718000000004</v>
      </c>
      <c r="E96" s="52">
        <v>15.248882999999998</v>
      </c>
      <c r="F96" s="52">
        <v>24.079200000000007</v>
      </c>
      <c r="G96" s="52">
        <v>15.384440999999997</v>
      </c>
    </row>
    <row r="97" spans="1:8" ht="18" customHeight="1">
      <c r="A97" s="51" t="s">
        <v>258</v>
      </c>
      <c r="B97" s="52">
        <v>309.33511000000004</v>
      </c>
      <c r="C97" s="52">
        <v>140.63554199999999</v>
      </c>
      <c r="D97" s="52">
        <v>284.40608999999995</v>
      </c>
      <c r="E97" s="52">
        <v>92.025030666666666</v>
      </c>
      <c r="F97" s="52">
        <v>288.11750333333345</v>
      </c>
      <c r="G97" s="52">
        <v>96.716247333333314</v>
      </c>
    </row>
    <row r="98" spans="1:8" ht="18" customHeight="1">
      <c r="A98" s="51" t="s">
        <v>74</v>
      </c>
      <c r="B98" s="52">
        <v>0.11027000000000001</v>
      </c>
      <c r="C98" s="52">
        <v>4.3999999999999997E-2</v>
      </c>
      <c r="D98" s="52">
        <v>0.165572</v>
      </c>
      <c r="E98" s="52">
        <v>9.7543999999999992E-2</v>
      </c>
      <c r="F98" s="52">
        <v>0.174572</v>
      </c>
      <c r="G98" s="52">
        <v>7.5544E-2</v>
      </c>
    </row>
    <row r="99" spans="1:8" ht="18" customHeight="1">
      <c r="A99" s="51" t="s">
        <v>246</v>
      </c>
      <c r="B99" s="52">
        <v>3.657</v>
      </c>
      <c r="C99" s="52">
        <v>3.5999999999999999E-3</v>
      </c>
      <c r="D99" s="52">
        <v>3.6427999999999998</v>
      </c>
      <c r="E99" s="52">
        <v>3.0000000000000001E-3</v>
      </c>
      <c r="F99" s="52">
        <v>2.0640000000000001</v>
      </c>
      <c r="G99" s="52">
        <v>3.0000000000000001E-3</v>
      </c>
    </row>
    <row r="100" spans="1:8" ht="18" customHeight="1">
      <c r="A100" s="51" t="s">
        <v>75</v>
      </c>
      <c r="B100" s="52">
        <v>41.631250000000001</v>
      </c>
      <c r="C100" s="52">
        <v>156.28875000000002</v>
      </c>
      <c r="D100" s="52">
        <v>45.53725</v>
      </c>
      <c r="E100" s="52">
        <v>174.00755000000001</v>
      </c>
      <c r="F100" s="52">
        <v>44.994850000000007</v>
      </c>
      <c r="G100" s="52">
        <v>162.03435000000002</v>
      </c>
    </row>
    <row r="101" spans="1:8" ht="18" customHeight="1">
      <c r="A101" s="51" t="s">
        <v>247</v>
      </c>
      <c r="B101" s="52">
        <v>292.87630000000001</v>
      </c>
      <c r="C101" s="52">
        <v>1123.8568500000001</v>
      </c>
      <c r="D101" s="52">
        <v>305.74080400000008</v>
      </c>
      <c r="E101" s="52">
        <v>1175.7385902000001</v>
      </c>
      <c r="F101" s="52">
        <v>349.64224200000007</v>
      </c>
      <c r="G101" s="52">
        <v>1330.9313056000003</v>
      </c>
    </row>
    <row r="102" spans="1:8" ht="18" customHeight="1">
      <c r="A102" s="51" t="s">
        <v>232</v>
      </c>
      <c r="B102" s="52">
        <v>347.27799999999996</v>
      </c>
      <c r="C102" s="52">
        <v>45.799000000000007</v>
      </c>
      <c r="D102" s="52">
        <v>336.26361999999995</v>
      </c>
      <c r="E102" s="52">
        <v>38.993772</v>
      </c>
      <c r="F102" s="52">
        <v>346.29899999999998</v>
      </c>
      <c r="G102" s="52">
        <v>35.006999999999998</v>
      </c>
    </row>
    <row r="103" spans="1:8" ht="18" customHeight="1">
      <c r="A103" s="55" t="s">
        <v>76</v>
      </c>
      <c r="B103" s="54">
        <v>4456.9353250000013</v>
      </c>
      <c r="C103" s="54">
        <v>11117.3394945</v>
      </c>
      <c r="D103" s="54">
        <v>4343.9776755000003</v>
      </c>
      <c r="E103" s="54">
        <v>10815.598355758666</v>
      </c>
      <c r="F103" s="54">
        <v>4413.8603108333336</v>
      </c>
      <c r="G103" s="54">
        <v>10906.880353825334</v>
      </c>
    </row>
    <row r="104" spans="1:8" s="56" customFormat="1" ht="18" customHeight="1">
      <c r="A104" s="55" t="s">
        <v>77</v>
      </c>
      <c r="B104" s="54">
        <v>27476.095866</v>
      </c>
      <c r="C104" s="54">
        <v>334602.70816993818</v>
      </c>
      <c r="D104" s="54">
        <v>27563.331442499999</v>
      </c>
      <c r="E104" s="54">
        <v>333251.24893043202</v>
      </c>
      <c r="F104" s="54">
        <v>27738.452157833333</v>
      </c>
      <c r="G104" s="54">
        <v>341629.15660774551</v>
      </c>
      <c r="H104" s="80"/>
    </row>
    <row r="105" spans="1:8" s="56" customFormat="1">
      <c r="A105" s="57"/>
      <c r="B105" s="57"/>
      <c r="C105" s="57"/>
      <c r="D105" s="57"/>
      <c r="E105" s="57"/>
      <c r="F105" s="57"/>
      <c r="G105" s="57"/>
    </row>
    <row r="106" spans="1:8" s="56" customFormat="1">
      <c r="F106" s="80"/>
      <c r="G106" s="80"/>
    </row>
    <row r="109" spans="1:8">
      <c r="F109" s="58"/>
      <c r="G109" s="58"/>
    </row>
  </sheetData>
  <mergeCells count="10">
    <mergeCell ref="A1:G1"/>
    <mergeCell ref="A2:G2"/>
    <mergeCell ref="A3:G3"/>
    <mergeCell ref="A4:G4"/>
    <mergeCell ref="F5:G5"/>
    <mergeCell ref="F6:G6"/>
    <mergeCell ref="B5:C5"/>
    <mergeCell ref="B6:C6"/>
    <mergeCell ref="D5:E5"/>
    <mergeCell ref="D6:E6"/>
  </mergeCells>
  <pageMargins left="0.25" right="0.25" top="0.25" bottom="0.25" header="0.25" footer="0.25"/>
  <pageSetup paperSize="9" scale="60" orientation="portrait" r:id="rId1"/>
  <headerFooter>
    <oddFooter>Page &amp;P of &amp;N</oddFooter>
  </headerFooter>
  <rowBreaks count="1" manualBreakCount="1">
    <brk id="6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9"/>
  <sheetViews>
    <sheetView zoomScale="86" zoomScaleNormal="86" zoomScaleSheetLayoutView="100" workbookViewId="0">
      <selection activeCell="B1" sqref="B1:B2"/>
    </sheetView>
  </sheetViews>
  <sheetFormatPr defaultColWidth="10.375" defaultRowHeight="18.75"/>
  <cols>
    <col min="1" max="1" width="8" style="32" customWidth="1"/>
    <col min="2" max="2" width="21.625" style="24" bestFit="1" customWidth="1"/>
    <col min="3" max="11" width="5.5" style="24" bestFit="1" customWidth="1"/>
    <col min="12" max="12" width="6.75" style="24" bestFit="1" customWidth="1"/>
    <col min="13" max="13" width="8.875" style="24" customWidth="1"/>
    <col min="14" max="27" width="5.5" style="24" bestFit="1" customWidth="1"/>
    <col min="28" max="28" width="6.75" style="24" bestFit="1" customWidth="1"/>
    <col min="29" max="51" width="5.5" style="24" bestFit="1" customWidth="1"/>
    <col min="52" max="52" width="13" style="24" bestFit="1" customWidth="1"/>
    <col min="53" max="57" width="5.5" style="24" bestFit="1" customWidth="1"/>
    <col min="58" max="59" width="6.75" style="24" bestFit="1" customWidth="1"/>
    <col min="60" max="60" width="8" style="24" bestFit="1" customWidth="1"/>
    <col min="61" max="16384" width="10.375" style="24"/>
  </cols>
  <sheetData>
    <row r="1" spans="1:60" s="22" customFormat="1" ht="61.5" customHeight="1">
      <c r="A1" s="394" t="s">
        <v>219</v>
      </c>
      <c r="B1" s="395" t="s">
        <v>84</v>
      </c>
      <c r="C1" s="392" t="s">
        <v>132</v>
      </c>
      <c r="D1" s="392"/>
      <c r="E1" s="393" t="s">
        <v>133</v>
      </c>
      <c r="F1" s="392"/>
      <c r="G1" s="392" t="s">
        <v>134</v>
      </c>
      <c r="H1" s="392"/>
      <c r="I1" s="392" t="s">
        <v>135</v>
      </c>
      <c r="J1" s="392"/>
      <c r="K1" s="392" t="s">
        <v>136</v>
      </c>
      <c r="L1" s="392"/>
      <c r="M1" s="392" t="s">
        <v>137</v>
      </c>
      <c r="N1" s="392"/>
      <c r="O1" s="396" t="s">
        <v>138</v>
      </c>
      <c r="P1" s="396"/>
      <c r="Q1" s="392" t="s">
        <v>139</v>
      </c>
      <c r="R1" s="392"/>
      <c r="S1" s="392" t="s">
        <v>140</v>
      </c>
      <c r="T1" s="392"/>
      <c r="U1" s="392" t="s">
        <v>141</v>
      </c>
      <c r="V1" s="392"/>
      <c r="W1" s="392" t="s">
        <v>142</v>
      </c>
      <c r="X1" s="392"/>
      <c r="Y1" s="392" t="s">
        <v>143</v>
      </c>
      <c r="Z1" s="392"/>
      <c r="AA1" s="392" t="s">
        <v>144</v>
      </c>
      <c r="AB1" s="392"/>
      <c r="AC1" s="392" t="s">
        <v>174</v>
      </c>
      <c r="AD1" s="392"/>
      <c r="AE1" s="392" t="s">
        <v>145</v>
      </c>
      <c r="AF1" s="392"/>
      <c r="AG1" s="393" t="s">
        <v>146</v>
      </c>
      <c r="AH1" s="393"/>
      <c r="AI1" s="393" t="s">
        <v>147</v>
      </c>
      <c r="AJ1" s="393"/>
      <c r="AK1" s="392" t="s">
        <v>148</v>
      </c>
      <c r="AL1" s="392"/>
      <c r="AM1" s="392" t="s">
        <v>149</v>
      </c>
      <c r="AN1" s="392"/>
      <c r="AO1" s="392" t="s">
        <v>150</v>
      </c>
      <c r="AP1" s="392"/>
      <c r="AQ1" s="392" t="s">
        <v>151</v>
      </c>
      <c r="AR1" s="392"/>
      <c r="AS1" s="392" t="s">
        <v>152</v>
      </c>
      <c r="AT1" s="392"/>
      <c r="AU1" s="392" t="s">
        <v>153</v>
      </c>
      <c r="AV1" s="392"/>
      <c r="AW1" s="392" t="s">
        <v>154</v>
      </c>
      <c r="AX1" s="392"/>
      <c r="AY1" s="392" t="s">
        <v>155</v>
      </c>
      <c r="AZ1" s="392"/>
      <c r="BA1" s="392" t="s">
        <v>156</v>
      </c>
      <c r="BB1" s="392"/>
      <c r="BC1" s="392" t="s">
        <v>183</v>
      </c>
      <c r="BD1" s="392"/>
      <c r="BE1" s="393" t="s">
        <v>157</v>
      </c>
      <c r="BF1" s="393"/>
      <c r="BG1" s="391" t="s">
        <v>158</v>
      </c>
      <c r="BH1" s="391"/>
    </row>
    <row r="2" spans="1:60" s="22" customFormat="1" ht="35.25" customHeight="1">
      <c r="A2" s="394"/>
      <c r="B2" s="395"/>
      <c r="C2" s="81" t="s">
        <v>90</v>
      </c>
      <c r="D2" s="81" t="s">
        <v>91</v>
      </c>
      <c r="E2" s="81" t="s">
        <v>90</v>
      </c>
      <c r="F2" s="81" t="s">
        <v>91</v>
      </c>
      <c r="G2" s="81" t="s">
        <v>90</v>
      </c>
      <c r="H2" s="81" t="s">
        <v>91</v>
      </c>
      <c r="I2" s="81" t="s">
        <v>90</v>
      </c>
      <c r="J2" s="81" t="s">
        <v>91</v>
      </c>
      <c r="K2" s="81" t="s">
        <v>90</v>
      </c>
      <c r="L2" s="81" t="s">
        <v>91</v>
      </c>
      <c r="M2" s="81" t="s">
        <v>90</v>
      </c>
      <c r="N2" s="81" t="s">
        <v>91</v>
      </c>
      <c r="O2" s="81" t="s">
        <v>90</v>
      </c>
      <c r="P2" s="81" t="s">
        <v>91</v>
      </c>
      <c r="Q2" s="81" t="s">
        <v>90</v>
      </c>
      <c r="R2" s="81" t="s">
        <v>91</v>
      </c>
      <c r="S2" s="81" t="s">
        <v>90</v>
      </c>
      <c r="T2" s="81" t="s">
        <v>91</v>
      </c>
      <c r="U2" s="81" t="s">
        <v>90</v>
      </c>
      <c r="V2" s="81" t="s">
        <v>91</v>
      </c>
      <c r="W2" s="81" t="s">
        <v>90</v>
      </c>
      <c r="X2" s="81" t="s">
        <v>91</v>
      </c>
      <c r="Y2" s="81" t="s">
        <v>90</v>
      </c>
      <c r="Z2" s="81" t="s">
        <v>91</v>
      </c>
      <c r="AA2" s="81" t="s">
        <v>90</v>
      </c>
      <c r="AB2" s="81" t="s">
        <v>91</v>
      </c>
      <c r="AC2" s="81" t="s">
        <v>90</v>
      </c>
      <c r="AD2" s="81" t="s">
        <v>91</v>
      </c>
      <c r="AE2" s="81" t="s">
        <v>90</v>
      </c>
      <c r="AF2" s="81" t="s">
        <v>91</v>
      </c>
      <c r="AG2" s="81" t="s">
        <v>90</v>
      </c>
      <c r="AH2" s="81" t="s">
        <v>91</v>
      </c>
      <c r="AI2" s="81" t="s">
        <v>90</v>
      </c>
      <c r="AJ2" s="81" t="s">
        <v>91</v>
      </c>
      <c r="AK2" s="81" t="s">
        <v>90</v>
      </c>
      <c r="AL2" s="81" t="s">
        <v>91</v>
      </c>
      <c r="AM2" s="81" t="s">
        <v>90</v>
      </c>
      <c r="AN2" s="81" t="s">
        <v>91</v>
      </c>
      <c r="AO2" s="81" t="s">
        <v>90</v>
      </c>
      <c r="AP2" s="81" t="s">
        <v>91</v>
      </c>
      <c r="AQ2" s="81" t="s">
        <v>90</v>
      </c>
      <c r="AR2" s="81" t="s">
        <v>91</v>
      </c>
      <c r="AS2" s="81" t="s">
        <v>90</v>
      </c>
      <c r="AT2" s="81" t="s">
        <v>91</v>
      </c>
      <c r="AU2" s="81" t="s">
        <v>90</v>
      </c>
      <c r="AV2" s="81" t="s">
        <v>91</v>
      </c>
      <c r="AW2" s="81" t="s">
        <v>90</v>
      </c>
      <c r="AX2" s="81" t="s">
        <v>91</v>
      </c>
      <c r="AY2" s="81" t="s">
        <v>90</v>
      </c>
      <c r="AZ2" s="81" t="s">
        <v>91</v>
      </c>
      <c r="BA2" s="81" t="s">
        <v>90</v>
      </c>
      <c r="BB2" s="81" t="s">
        <v>91</v>
      </c>
      <c r="BC2" s="81" t="s">
        <v>90</v>
      </c>
      <c r="BD2" s="81" t="s">
        <v>91</v>
      </c>
      <c r="BE2" s="81" t="s">
        <v>90</v>
      </c>
      <c r="BF2" s="81" t="s">
        <v>91</v>
      </c>
      <c r="BG2" s="81" t="s">
        <v>90</v>
      </c>
      <c r="BH2" s="81" t="s">
        <v>91</v>
      </c>
    </row>
    <row r="3" spans="1:60" ht="24" customHeight="1">
      <c r="A3" s="23">
        <v>1</v>
      </c>
      <c r="B3" s="34" t="s">
        <v>222</v>
      </c>
      <c r="C3" s="8"/>
      <c r="D3" s="8"/>
      <c r="E3" s="8"/>
      <c r="F3" s="8"/>
      <c r="G3" s="8"/>
      <c r="H3" s="8"/>
      <c r="I3" s="8"/>
      <c r="J3" s="8"/>
      <c r="K3" s="8">
        <v>1.76</v>
      </c>
      <c r="L3" s="8">
        <v>18.77</v>
      </c>
      <c r="M3" s="8"/>
      <c r="N3" s="8"/>
      <c r="O3" s="8">
        <v>0.03</v>
      </c>
      <c r="P3" s="8">
        <v>0.11</v>
      </c>
      <c r="Q3" s="8"/>
      <c r="R3" s="8"/>
      <c r="S3" s="8">
        <v>0.14000000000000001</v>
      </c>
      <c r="T3" s="8">
        <v>0.53</v>
      </c>
      <c r="U3" s="8"/>
      <c r="V3" s="8"/>
      <c r="W3" s="8"/>
      <c r="X3" s="8"/>
      <c r="Y3" s="8"/>
      <c r="Z3" s="8"/>
      <c r="AA3" s="8">
        <v>0.34</v>
      </c>
      <c r="AB3" s="8">
        <v>3.16</v>
      </c>
      <c r="AC3" s="8">
        <v>0.02</v>
      </c>
      <c r="AD3" s="8">
        <v>0.2</v>
      </c>
      <c r="AE3" s="8">
        <v>0.17</v>
      </c>
      <c r="AF3" s="8">
        <v>2.66</v>
      </c>
      <c r="AG3" s="8"/>
      <c r="AH3" s="8"/>
      <c r="AI3" s="40">
        <f>' Citrus (UT''s)'!K3</f>
        <v>0.17</v>
      </c>
      <c r="AJ3" s="40">
        <f>' Citrus (UT''s)'!L3</f>
        <v>0.89999999999999991</v>
      </c>
      <c r="AK3" s="8"/>
      <c r="AL3" s="8"/>
      <c r="AM3" s="8"/>
      <c r="AN3" s="8"/>
      <c r="AO3" s="8"/>
      <c r="AP3" s="8"/>
      <c r="AQ3" s="8">
        <v>0.1</v>
      </c>
      <c r="AR3" s="8">
        <v>0.41</v>
      </c>
      <c r="AS3" s="8"/>
      <c r="AT3" s="8"/>
      <c r="AU3" s="8">
        <v>3.0000000000000001E-3</v>
      </c>
      <c r="AV3" s="8">
        <v>0</v>
      </c>
      <c r="AW3" s="8">
        <v>0.3</v>
      </c>
      <c r="AX3" s="8">
        <v>1.28</v>
      </c>
      <c r="AY3" s="8"/>
      <c r="AZ3" s="8"/>
      <c r="BA3" s="8"/>
      <c r="BB3" s="8"/>
      <c r="BC3" s="8">
        <v>0.02</v>
      </c>
      <c r="BD3" s="8">
        <v>0.26</v>
      </c>
      <c r="BE3" s="8">
        <v>0.41</v>
      </c>
      <c r="BF3" s="8">
        <v>2.3199999999999998</v>
      </c>
      <c r="BG3" s="40">
        <f>C3+E3+G3+I3+K3+M3+O3+Q3+S3+U3+W3+Y3+AA3+AC3+AE3+AG3+AI3+AK3+AM3+AO3+AQ3+AS3+AU3+AW3+AY3+BA3+BC3+BE3</f>
        <v>3.4630000000000001</v>
      </c>
      <c r="BH3" s="40">
        <f>D3+F3+H3+J3+L3+N3+P3+R3+T3+V3+X3+Z3+AB3+AD3+AF3+AH3+AJ3+AL3+AN3+AP3+AR3+AT3+AV3+AX3+AZ3+BB3+BD3+BF3</f>
        <v>30.6</v>
      </c>
    </row>
    <row r="4" spans="1:60" ht="24" customHeight="1">
      <c r="A4" s="23">
        <v>2</v>
      </c>
      <c r="B4" s="34" t="s">
        <v>223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40">
        <f>' Citrus (UT''s)'!K4</f>
        <v>0</v>
      </c>
      <c r="AJ4" s="40">
        <f>' Citrus (UT''s)'!L4</f>
        <v>0</v>
      </c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40">
        <f t="shared" ref="BG4:BG9" si="0">C4+E4+G4+I4+K4+M4+O4+Q4+S4+U4+W4+Y4+AA4+AC4+AE4+AG4+AI4+AK4+AM4+AO4+AQ4+AS4+AU4+AW4+AY4+BA4+BC4+BE4</f>
        <v>0</v>
      </c>
      <c r="BH4" s="40">
        <f t="shared" ref="BH4:BH9" si="1">D4+F4+H4+J4+L4+N4+P4+R4+T4+V4+X4+Z4+AB4+AD4+AF4+AH4+AJ4+AL4+AN4+AP4+AR4+AT4+AV4+AX4+AZ4+BB4+BD4+BF4</f>
        <v>0</v>
      </c>
    </row>
    <row r="5" spans="1:60" ht="24" customHeight="1">
      <c r="A5" s="23">
        <v>3</v>
      </c>
      <c r="B5" s="34" t="s">
        <v>224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3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40">
        <f>' Citrus (UT''s)'!K5</f>
        <v>0</v>
      </c>
      <c r="AJ5" s="40">
        <f>' Citrus (UT''s)'!L5</f>
        <v>0</v>
      </c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40">
        <f t="shared" si="0"/>
        <v>0</v>
      </c>
      <c r="BH5" s="40">
        <f t="shared" si="1"/>
        <v>0</v>
      </c>
    </row>
    <row r="6" spans="1:60" ht="24" customHeight="1">
      <c r="A6" s="23">
        <v>4</v>
      </c>
      <c r="B6" s="35" t="s">
        <v>225</v>
      </c>
      <c r="C6" s="1"/>
      <c r="D6" s="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40">
        <f>' Citrus (UT''s)'!K6</f>
        <v>0</v>
      </c>
      <c r="AJ6" s="40">
        <f>' Citrus (UT''s)'!L6</f>
        <v>0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40">
        <f t="shared" si="0"/>
        <v>0</v>
      </c>
      <c r="BH6" s="40">
        <f t="shared" si="1"/>
        <v>0</v>
      </c>
    </row>
    <row r="7" spans="1:60" ht="24" customHeight="1">
      <c r="A7" s="23">
        <v>5</v>
      </c>
      <c r="B7" s="35" t="s">
        <v>226</v>
      </c>
      <c r="C7" s="41"/>
      <c r="D7" s="41"/>
      <c r="E7" s="41"/>
      <c r="F7" s="41"/>
      <c r="G7" s="41"/>
      <c r="H7" s="41"/>
      <c r="I7" s="41"/>
      <c r="J7" s="41"/>
      <c r="K7" s="41">
        <v>2.472</v>
      </c>
      <c r="L7" s="41">
        <v>29.684000000000001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>
        <v>5.0620000000000003</v>
      </c>
      <c r="AB7" s="41">
        <v>10.282</v>
      </c>
      <c r="AC7" s="41"/>
      <c r="AD7" s="41"/>
      <c r="AE7" s="41"/>
      <c r="AF7" s="41"/>
      <c r="AG7" s="41"/>
      <c r="AH7" s="41"/>
      <c r="AI7" s="40">
        <f>' Citrus (UT''s)'!K7</f>
        <v>0</v>
      </c>
      <c r="AJ7" s="40">
        <f>' Citrus (UT''s)'!L7</f>
        <v>0</v>
      </c>
      <c r="AK7" s="41"/>
      <c r="AL7" s="41"/>
      <c r="AM7" s="41"/>
      <c r="AN7" s="41"/>
      <c r="AO7" s="41"/>
      <c r="AP7" s="41"/>
      <c r="AQ7" s="41">
        <v>0.34</v>
      </c>
      <c r="AR7" s="41">
        <v>5.5540000000000003</v>
      </c>
      <c r="AS7" s="4"/>
      <c r="AT7" s="4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>
        <v>3.927</v>
      </c>
      <c r="BF7" s="41">
        <v>32.43</v>
      </c>
      <c r="BG7" s="40">
        <f t="shared" si="0"/>
        <v>11.801</v>
      </c>
      <c r="BH7" s="40">
        <f t="shared" si="1"/>
        <v>77.95</v>
      </c>
    </row>
    <row r="8" spans="1:60" ht="24" customHeight="1">
      <c r="A8" s="23">
        <v>6</v>
      </c>
      <c r="B8" s="34" t="s">
        <v>241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40">
        <f>' Citrus (UT''s)'!K8</f>
        <v>0</v>
      </c>
      <c r="AJ8" s="40">
        <f>' Citrus (UT''s)'!L8</f>
        <v>0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40">
        <f t="shared" si="0"/>
        <v>0</v>
      </c>
      <c r="BH8" s="40">
        <f t="shared" si="1"/>
        <v>0</v>
      </c>
    </row>
    <row r="9" spans="1:60" ht="24" customHeight="1">
      <c r="A9" s="23">
        <v>7</v>
      </c>
      <c r="B9" s="42" t="s">
        <v>227</v>
      </c>
      <c r="C9" s="8"/>
      <c r="D9" s="8"/>
      <c r="E9" s="8">
        <v>1.7999999999999999E-2</v>
      </c>
      <c r="F9" s="8">
        <v>0.08</v>
      </c>
      <c r="G9" s="8"/>
      <c r="H9" s="8"/>
      <c r="I9" s="8"/>
      <c r="J9" s="8"/>
      <c r="K9" s="8">
        <v>0.19400000000000001</v>
      </c>
      <c r="L9" s="8">
        <v>5.6269999999999998</v>
      </c>
      <c r="M9" s="8"/>
      <c r="N9" s="8"/>
      <c r="O9" s="8"/>
      <c r="P9" s="8"/>
      <c r="Q9" s="8"/>
      <c r="R9" s="8"/>
      <c r="S9" s="8">
        <v>7.0000000000000007E-2</v>
      </c>
      <c r="T9" s="8">
        <v>1.6930000000000001</v>
      </c>
      <c r="U9" s="8">
        <v>2E-3</v>
      </c>
      <c r="V9" s="8">
        <v>0.03</v>
      </c>
      <c r="W9" s="8"/>
      <c r="X9" s="8"/>
      <c r="Y9" s="8"/>
      <c r="Z9" s="8"/>
      <c r="AA9" s="8">
        <v>0.20399999999999999</v>
      </c>
      <c r="AB9" s="8">
        <v>3.45</v>
      </c>
      <c r="AC9" s="8">
        <v>7.0000000000000001E-3</v>
      </c>
      <c r="AD9" s="8">
        <v>0.14699999999999999</v>
      </c>
      <c r="AE9" s="8">
        <v>2E-3</v>
      </c>
      <c r="AF9" s="8">
        <v>0.08</v>
      </c>
      <c r="AG9" s="8"/>
      <c r="AH9" s="8"/>
      <c r="AI9" s="40">
        <f>' Citrus (UT''s)'!K9</f>
        <v>2.3E-2</v>
      </c>
      <c r="AJ9" s="40">
        <f>' Citrus (UT''s)'!L9</f>
        <v>0.17299999999999999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>
        <v>4.2999999999999997E-2</v>
      </c>
      <c r="AX9" s="8">
        <v>1.075</v>
      </c>
      <c r="AY9" s="8"/>
      <c r="AZ9" s="8"/>
      <c r="BA9" s="8"/>
      <c r="BB9" s="8"/>
      <c r="BC9" s="8">
        <v>0.03</v>
      </c>
      <c r="BD9" s="8">
        <v>0.74</v>
      </c>
      <c r="BE9" s="8">
        <v>1.4E-2</v>
      </c>
      <c r="BF9" s="8">
        <v>0.218</v>
      </c>
      <c r="BG9" s="40">
        <f t="shared" si="0"/>
        <v>0.6070000000000001</v>
      </c>
      <c r="BH9" s="40">
        <f t="shared" si="1"/>
        <v>13.313000000000001</v>
      </c>
    </row>
    <row r="10" spans="1:60" ht="24" customHeight="1">
      <c r="A10" s="31"/>
      <c r="B10" s="25" t="s">
        <v>89</v>
      </c>
      <c r="C10" s="9">
        <f>C3+C4+C5+C6+C7+C8+C9</f>
        <v>0</v>
      </c>
      <c r="D10" s="9">
        <f t="shared" ref="D10:BH10" si="2">D3+D4+D5+D6+D7+D8+D9</f>
        <v>0</v>
      </c>
      <c r="E10" s="9">
        <f t="shared" si="2"/>
        <v>1.7999999999999999E-2</v>
      </c>
      <c r="F10" s="9">
        <f t="shared" si="2"/>
        <v>0.08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9">
        <f t="shared" si="2"/>
        <v>4.4260000000000002</v>
      </c>
      <c r="L10" s="9">
        <f t="shared" si="2"/>
        <v>54.081000000000003</v>
      </c>
      <c r="M10" s="9">
        <f t="shared" si="2"/>
        <v>0</v>
      </c>
      <c r="N10" s="9">
        <f t="shared" si="2"/>
        <v>0</v>
      </c>
      <c r="O10" s="9">
        <f t="shared" si="2"/>
        <v>0.03</v>
      </c>
      <c r="P10" s="9">
        <f t="shared" si="2"/>
        <v>0.11</v>
      </c>
      <c r="Q10" s="9">
        <f t="shared" si="2"/>
        <v>0</v>
      </c>
      <c r="R10" s="9">
        <f t="shared" si="2"/>
        <v>0</v>
      </c>
      <c r="S10" s="9">
        <f t="shared" si="2"/>
        <v>0.21000000000000002</v>
      </c>
      <c r="T10" s="9">
        <f t="shared" si="2"/>
        <v>2.2229999999999999</v>
      </c>
      <c r="U10" s="9">
        <f t="shared" si="2"/>
        <v>2E-3</v>
      </c>
      <c r="V10" s="9">
        <f t="shared" si="2"/>
        <v>0.03</v>
      </c>
      <c r="W10" s="9">
        <f t="shared" si="2"/>
        <v>0</v>
      </c>
      <c r="X10" s="9">
        <f t="shared" si="2"/>
        <v>0</v>
      </c>
      <c r="Y10" s="9">
        <f t="shared" si="2"/>
        <v>0</v>
      </c>
      <c r="Z10" s="9">
        <f t="shared" si="2"/>
        <v>0</v>
      </c>
      <c r="AA10" s="9">
        <f t="shared" si="2"/>
        <v>5.6059999999999999</v>
      </c>
      <c r="AB10" s="9">
        <f t="shared" si="2"/>
        <v>16.891999999999999</v>
      </c>
      <c r="AC10" s="9">
        <f t="shared" si="2"/>
        <v>2.7E-2</v>
      </c>
      <c r="AD10" s="9">
        <f t="shared" si="2"/>
        <v>0.34699999999999998</v>
      </c>
      <c r="AE10" s="9">
        <f t="shared" si="2"/>
        <v>0.17200000000000001</v>
      </c>
      <c r="AF10" s="9">
        <f t="shared" si="2"/>
        <v>2.74</v>
      </c>
      <c r="AG10" s="9">
        <f t="shared" si="2"/>
        <v>0</v>
      </c>
      <c r="AH10" s="9">
        <f t="shared" si="2"/>
        <v>0</v>
      </c>
      <c r="AI10" s="9">
        <f t="shared" si="2"/>
        <v>0.193</v>
      </c>
      <c r="AJ10" s="9">
        <f t="shared" si="2"/>
        <v>1.073</v>
      </c>
      <c r="AK10" s="9">
        <f t="shared" si="2"/>
        <v>0</v>
      </c>
      <c r="AL10" s="9">
        <f t="shared" si="2"/>
        <v>0</v>
      </c>
      <c r="AM10" s="9">
        <f t="shared" si="2"/>
        <v>0</v>
      </c>
      <c r="AN10" s="9">
        <f t="shared" si="2"/>
        <v>0</v>
      </c>
      <c r="AO10" s="9">
        <f t="shared" si="2"/>
        <v>0</v>
      </c>
      <c r="AP10" s="9">
        <f t="shared" si="2"/>
        <v>0</v>
      </c>
      <c r="AQ10" s="9">
        <f t="shared" si="2"/>
        <v>0.44000000000000006</v>
      </c>
      <c r="AR10" s="9">
        <f t="shared" si="2"/>
        <v>5.9640000000000004</v>
      </c>
      <c r="AS10" s="9">
        <f t="shared" si="2"/>
        <v>0</v>
      </c>
      <c r="AT10" s="9">
        <f t="shared" si="2"/>
        <v>0</v>
      </c>
      <c r="AU10" s="9">
        <f t="shared" si="2"/>
        <v>3.0000000000000001E-3</v>
      </c>
      <c r="AV10" s="9">
        <f t="shared" si="2"/>
        <v>0</v>
      </c>
      <c r="AW10" s="9">
        <f t="shared" si="2"/>
        <v>0.34299999999999997</v>
      </c>
      <c r="AX10" s="9">
        <f t="shared" si="2"/>
        <v>2.355</v>
      </c>
      <c r="AY10" s="9">
        <f t="shared" si="2"/>
        <v>0</v>
      </c>
      <c r="AZ10" s="9">
        <f t="shared" si="2"/>
        <v>0</v>
      </c>
      <c r="BA10" s="9">
        <f t="shared" si="2"/>
        <v>0</v>
      </c>
      <c r="BB10" s="9">
        <f t="shared" si="2"/>
        <v>0</v>
      </c>
      <c r="BC10" s="9">
        <f t="shared" si="2"/>
        <v>0.05</v>
      </c>
      <c r="BD10" s="9">
        <f t="shared" si="2"/>
        <v>1</v>
      </c>
      <c r="BE10" s="9">
        <f t="shared" si="2"/>
        <v>4.351</v>
      </c>
      <c r="BF10" s="9">
        <f t="shared" si="2"/>
        <v>34.968000000000004</v>
      </c>
      <c r="BG10" s="9">
        <f t="shared" si="2"/>
        <v>15.870999999999999</v>
      </c>
      <c r="BH10" s="9">
        <f t="shared" si="2"/>
        <v>121.86300000000001</v>
      </c>
    </row>
    <row r="18" spans="13:52">
      <c r="AZ18" s="24" t="s">
        <v>233</v>
      </c>
    </row>
    <row r="19" spans="13:52">
      <c r="M19" s="24" t="s">
        <v>229</v>
      </c>
    </row>
  </sheetData>
  <mergeCells count="31">
    <mergeCell ref="U1:V1"/>
    <mergeCell ref="A1:A2"/>
    <mergeCell ref="B1:B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S1:AT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BG1:BH1"/>
    <mergeCell ref="AU1:AV1"/>
    <mergeCell ref="AW1:AX1"/>
    <mergeCell ref="AY1:AZ1"/>
    <mergeCell ref="BA1:BB1"/>
    <mergeCell ref="BC1:BD1"/>
    <mergeCell ref="BE1:BF1"/>
  </mergeCells>
  <pageMargins left="0.35" right="0.45" top="1.1499999999999999" bottom="0.34" header="0.78" footer="0.2"/>
  <pageSetup paperSize="9" scale="59" orientation="landscape" r:id="rId1"/>
  <headerFooter>
    <oddHeader>&amp;C&amp;"-,Bold"&amp;22Area and Production of Fruit Crops for 2021-22 (Second Advance Estimates)&amp;R&amp;"-,Bold"&amp;16Area in '000 Ha 
Production in '000 Tonnes</oddHeader>
  </headerFooter>
  <colBreaks count="3" manualBreakCount="3">
    <brk id="18" max="1048575" man="1"/>
    <brk id="34" max="1048575" man="1"/>
    <brk id="50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="84" zoomScaleNormal="84" workbookViewId="0">
      <selection activeCell="B4" sqref="B4"/>
    </sheetView>
  </sheetViews>
  <sheetFormatPr defaultColWidth="9.5" defaultRowHeight="17.25" customHeight="1"/>
  <cols>
    <col min="1" max="1" width="9.25" style="27" customWidth="1"/>
    <col min="2" max="2" width="30.75" style="27" customWidth="1"/>
    <col min="3" max="8" width="15.375" style="27" customWidth="1"/>
    <col min="9" max="9" width="12.125" style="27" customWidth="1"/>
    <col min="10" max="12" width="15.375" style="27" customWidth="1"/>
    <col min="13" max="16384" width="9.5" style="27"/>
  </cols>
  <sheetData>
    <row r="1" spans="1:12" ht="46.5" customHeight="1">
      <c r="A1" s="83" t="s">
        <v>219</v>
      </c>
      <c r="B1" s="82" t="s">
        <v>84</v>
      </c>
      <c r="C1" s="397" t="s">
        <v>159</v>
      </c>
      <c r="D1" s="397"/>
      <c r="E1" s="399" t="s">
        <v>160</v>
      </c>
      <c r="F1" s="399"/>
      <c r="G1" s="399" t="s">
        <v>161</v>
      </c>
      <c r="H1" s="399"/>
      <c r="I1" s="397" t="s">
        <v>162</v>
      </c>
      <c r="J1" s="397"/>
      <c r="K1" s="397" t="s">
        <v>89</v>
      </c>
      <c r="L1" s="397"/>
    </row>
    <row r="2" spans="1:12" ht="22.5" customHeight="1">
      <c r="A2" s="10"/>
      <c r="B2" s="28"/>
      <c r="C2" s="26" t="s">
        <v>90</v>
      </c>
      <c r="D2" s="26" t="s">
        <v>91</v>
      </c>
      <c r="E2" s="26" t="s">
        <v>90</v>
      </c>
      <c r="F2" s="26" t="s">
        <v>91</v>
      </c>
      <c r="G2" s="26" t="s">
        <v>90</v>
      </c>
      <c r="H2" s="26" t="s">
        <v>91</v>
      </c>
      <c r="I2" s="26" t="s">
        <v>90</v>
      </c>
      <c r="J2" s="26" t="s">
        <v>91</v>
      </c>
      <c r="K2" s="26" t="s">
        <v>90</v>
      </c>
      <c r="L2" s="26" t="s">
        <v>91</v>
      </c>
    </row>
    <row r="3" spans="1:12" ht="21.75" customHeight="1">
      <c r="A3" s="29">
        <v>1</v>
      </c>
      <c r="B3" s="34" t="s">
        <v>222</v>
      </c>
      <c r="C3" s="10">
        <v>0.14000000000000001</v>
      </c>
      <c r="D3" s="10">
        <v>0.83</v>
      </c>
      <c r="E3" s="10">
        <v>0.03</v>
      </c>
      <c r="F3" s="10">
        <v>7.0000000000000007E-2</v>
      </c>
      <c r="G3" s="10"/>
      <c r="H3" s="10"/>
      <c r="I3" s="10"/>
      <c r="J3" s="10"/>
      <c r="K3" s="11">
        <f>C3+E3+G3+I3</f>
        <v>0.17</v>
      </c>
      <c r="L3" s="11">
        <f>D3+F3+H3+J3</f>
        <v>0.89999999999999991</v>
      </c>
    </row>
    <row r="4" spans="1:12" ht="21.75" customHeight="1">
      <c r="A4" s="29">
        <v>2</v>
      </c>
      <c r="B4" s="34" t="s">
        <v>223</v>
      </c>
      <c r="C4" s="10"/>
      <c r="D4" s="10"/>
      <c r="E4" s="10"/>
      <c r="F4" s="10"/>
      <c r="G4" s="10"/>
      <c r="H4" s="10"/>
      <c r="I4" s="10"/>
      <c r="J4" s="10"/>
      <c r="K4" s="11">
        <f t="shared" ref="K4:K9" si="0">C4+E4+G4+I4</f>
        <v>0</v>
      </c>
      <c r="L4" s="11">
        <f t="shared" ref="L4:L9" si="1">D4+F4+H4+J4</f>
        <v>0</v>
      </c>
    </row>
    <row r="5" spans="1:12" ht="21.75" customHeight="1">
      <c r="A5" s="29">
        <v>3</v>
      </c>
      <c r="B5" s="34" t="s">
        <v>224</v>
      </c>
      <c r="C5" s="10"/>
      <c r="D5" s="10"/>
      <c r="E5" s="10"/>
      <c r="F5" s="10"/>
      <c r="G5" s="10"/>
      <c r="H5" s="10"/>
      <c r="I5" s="10"/>
      <c r="J5" s="10"/>
      <c r="K5" s="11">
        <f t="shared" si="0"/>
        <v>0</v>
      </c>
      <c r="L5" s="11">
        <f t="shared" si="1"/>
        <v>0</v>
      </c>
    </row>
    <row r="6" spans="1:12" ht="21.75" customHeight="1">
      <c r="A6" s="29">
        <v>4</v>
      </c>
      <c r="B6" s="35" t="s">
        <v>225</v>
      </c>
      <c r="C6" s="10"/>
      <c r="D6" s="10"/>
      <c r="E6" s="10"/>
      <c r="F6" s="10"/>
      <c r="G6" s="10"/>
      <c r="H6" s="10"/>
      <c r="I6" s="10"/>
      <c r="J6" s="10"/>
      <c r="K6" s="11">
        <f t="shared" si="0"/>
        <v>0</v>
      </c>
      <c r="L6" s="11">
        <f t="shared" si="1"/>
        <v>0</v>
      </c>
    </row>
    <row r="7" spans="1:12" ht="21.75" customHeight="1">
      <c r="A7" s="29">
        <v>5</v>
      </c>
      <c r="B7" s="35" t="s">
        <v>226</v>
      </c>
      <c r="C7" s="10"/>
      <c r="D7" s="10"/>
      <c r="E7" s="10"/>
      <c r="F7" s="10"/>
      <c r="G7" s="10"/>
      <c r="H7" s="10"/>
      <c r="I7" s="10"/>
      <c r="J7" s="10"/>
      <c r="K7" s="11">
        <f t="shared" si="0"/>
        <v>0</v>
      </c>
      <c r="L7" s="11">
        <f t="shared" si="1"/>
        <v>0</v>
      </c>
    </row>
    <row r="8" spans="1:12" ht="21.75" customHeight="1">
      <c r="A8" s="29">
        <v>6</v>
      </c>
      <c r="B8" s="34" t="s">
        <v>241</v>
      </c>
      <c r="C8" s="10"/>
      <c r="D8" s="10"/>
      <c r="E8" s="10"/>
      <c r="F8" s="10"/>
      <c r="G8" s="10"/>
      <c r="H8" s="10"/>
      <c r="K8" s="11">
        <f t="shared" si="0"/>
        <v>0</v>
      </c>
      <c r="L8" s="11">
        <f t="shared" si="1"/>
        <v>0</v>
      </c>
    </row>
    <row r="9" spans="1:12" ht="21.75" customHeight="1">
      <c r="A9" s="29">
        <v>7</v>
      </c>
      <c r="B9" s="36" t="s">
        <v>227</v>
      </c>
      <c r="C9" s="10">
        <v>2.3E-2</v>
      </c>
      <c r="D9" s="10">
        <v>0.17299999999999999</v>
      </c>
      <c r="E9" s="10"/>
      <c r="F9" s="10"/>
      <c r="G9" s="10"/>
      <c r="H9" s="10"/>
      <c r="I9" s="10"/>
      <c r="J9" s="10"/>
      <c r="K9" s="11">
        <f t="shared" si="0"/>
        <v>2.3E-2</v>
      </c>
      <c r="L9" s="11">
        <f t="shared" si="1"/>
        <v>0.17299999999999999</v>
      </c>
    </row>
    <row r="10" spans="1:12" ht="21.75" customHeight="1">
      <c r="A10" s="11"/>
      <c r="B10" s="25" t="s">
        <v>89</v>
      </c>
      <c r="C10" s="11">
        <f>C3+C4+C5+C6+C7+C8+C9</f>
        <v>0.16300000000000001</v>
      </c>
      <c r="D10" s="11">
        <f t="shared" ref="D10:L10" si="2">D3+D4+D5+D6+D7+D8+D9</f>
        <v>1.0029999999999999</v>
      </c>
      <c r="E10" s="11">
        <f t="shared" si="2"/>
        <v>0.03</v>
      </c>
      <c r="F10" s="11">
        <f t="shared" si="2"/>
        <v>7.0000000000000007E-2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11">
        <f t="shared" si="2"/>
        <v>0</v>
      </c>
      <c r="K10" s="11">
        <f t="shared" si="2"/>
        <v>0.193</v>
      </c>
      <c r="L10" s="11">
        <f t="shared" si="2"/>
        <v>1.073</v>
      </c>
    </row>
    <row r="11" spans="1:12" s="30" customFormat="1" ht="18.75">
      <c r="B11" s="398"/>
      <c r="C11" s="398"/>
      <c r="D11" s="398"/>
      <c r="E11" s="398"/>
      <c r="H11" s="30" t="s">
        <v>235</v>
      </c>
    </row>
    <row r="12" spans="1:12" ht="17.25" customHeight="1">
      <c r="C12" s="30"/>
      <c r="D12" s="30"/>
      <c r="E12" s="30"/>
      <c r="F12" s="30"/>
      <c r="G12" s="30"/>
      <c r="H12" s="30"/>
      <c r="I12" s="30"/>
      <c r="J12" s="30"/>
    </row>
    <row r="22" spans="4:4" ht="17.25" customHeight="1">
      <c r="D22" s="27" t="s">
        <v>228</v>
      </c>
    </row>
  </sheetData>
  <mergeCells count="6">
    <mergeCell ref="K1:L1"/>
    <mergeCell ref="B11:E11"/>
    <mergeCell ref="C1:D1"/>
    <mergeCell ref="E1:F1"/>
    <mergeCell ref="G1:H1"/>
    <mergeCell ref="I1:J1"/>
  </mergeCells>
  <printOptions horizontalCentered="1" verticalCentered="1"/>
  <pageMargins left="0.28000000000000003" right="0.2" top="1.33" bottom="4.41" header="0.56999999999999995" footer="0.87"/>
  <pageSetup scale="60" orientation="landscape" r:id="rId1"/>
  <headerFooter alignWithMargins="0">
    <oddHeader xml:space="preserve">&amp;C&amp;"-,Bold"&amp;22Area and Production of Citrus Crops 2021-22  (Second Advance Estimates)&amp;R&amp;"-,Bold"&amp;12Area in '000 Ha 
Prdouction in '000 MT </oddHeader>
  </headerFooter>
  <rowBreaks count="1" manualBreakCount="1">
    <brk id="1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BD37"/>
  <sheetViews>
    <sheetView zoomScale="98" zoomScaleNormal="98" workbookViewId="0">
      <selection activeCell="AS7" sqref="AS7"/>
    </sheetView>
  </sheetViews>
  <sheetFormatPr defaultColWidth="27.375" defaultRowHeight="21.75" customHeight="1"/>
  <cols>
    <col min="1" max="1" width="8" style="240" bestFit="1" customWidth="1"/>
    <col min="2" max="2" width="22.25" style="240" bestFit="1" customWidth="1"/>
    <col min="3" max="4" width="5.5" style="240" bestFit="1" customWidth="1"/>
    <col min="5" max="5" width="8.625" style="240" customWidth="1"/>
    <col min="6" max="6" width="10.25" style="240" customWidth="1"/>
    <col min="7" max="7" width="5.5" style="240" bestFit="1" customWidth="1"/>
    <col min="8" max="8" width="6.75" style="240" bestFit="1" customWidth="1"/>
    <col min="9" max="9" width="5.5" style="240" bestFit="1" customWidth="1"/>
    <col min="10" max="10" width="6.75" style="240" bestFit="1" customWidth="1"/>
    <col min="11" max="15" width="5.5" style="240" bestFit="1" customWidth="1"/>
    <col min="16" max="16" width="6.75" style="240" bestFit="1" customWidth="1"/>
    <col min="17" max="17" width="5.5" style="240" bestFit="1" customWidth="1"/>
    <col min="18" max="18" width="6.75" style="240" bestFit="1" customWidth="1"/>
    <col min="19" max="19" width="5.5" style="240" bestFit="1" customWidth="1"/>
    <col min="20" max="20" width="6.75" style="240" bestFit="1" customWidth="1"/>
    <col min="21" max="25" width="5.5" style="240" bestFit="1" customWidth="1"/>
    <col min="26" max="26" width="6.75" style="240" bestFit="1" customWidth="1"/>
    <col min="27" max="27" width="5.5" style="240" bestFit="1" customWidth="1"/>
    <col min="28" max="28" width="6.75" style="240" bestFit="1" customWidth="1"/>
    <col min="29" max="32" width="5.5" style="240" bestFit="1" customWidth="1"/>
    <col min="33" max="33" width="10" style="240" customWidth="1"/>
    <col min="34" max="34" width="7.875" style="240" customWidth="1"/>
    <col min="35" max="35" width="5.5" style="240" bestFit="1" customWidth="1"/>
    <col min="36" max="36" width="9" style="240" customWidth="1"/>
    <col min="37" max="37" width="5.5" style="240" bestFit="1" customWidth="1"/>
    <col min="38" max="38" width="7.25" style="240" customWidth="1"/>
    <col min="39" max="41" width="5.5" style="240" bestFit="1" customWidth="1"/>
    <col min="42" max="42" width="6.5" style="240" customWidth="1"/>
    <col min="43" max="43" width="5.5" style="240" bestFit="1" customWidth="1"/>
    <col min="44" max="44" width="6.75" style="240" bestFit="1" customWidth="1"/>
    <col min="45" max="45" width="5.5" style="240" bestFit="1" customWidth="1"/>
    <col min="46" max="46" width="12.125" style="240" customWidth="1"/>
    <col min="47" max="47" width="6.75" style="240" bestFit="1" customWidth="1"/>
    <col min="48" max="48" width="8" style="240" bestFit="1" customWidth="1"/>
    <col min="49" max="49" width="6.75" style="240" bestFit="1" customWidth="1"/>
    <col min="50" max="50" width="8" style="240" bestFit="1" customWidth="1"/>
    <col min="51" max="51" width="10" style="240" customWidth="1"/>
    <col min="52" max="52" width="10.625" style="240" customWidth="1"/>
    <col min="53" max="53" width="11.75" style="240" customWidth="1"/>
    <col min="54" max="54" width="12.875" style="240" customWidth="1"/>
    <col min="55" max="55" width="12.625" style="240" customWidth="1"/>
    <col min="56" max="56" width="11.75" style="240" customWidth="1"/>
    <col min="57" max="244" width="6.5" style="240" customWidth="1"/>
    <col min="245" max="245" width="5.875" style="240" customWidth="1"/>
    <col min="246" max="16384" width="27.375" style="240"/>
  </cols>
  <sheetData>
    <row r="1" spans="1:56" s="241" customFormat="1" ht="40.5" customHeight="1">
      <c r="A1" s="238" t="s">
        <v>220</v>
      </c>
      <c r="B1" s="239" t="s">
        <v>84</v>
      </c>
      <c r="C1" s="403" t="s">
        <v>163</v>
      </c>
      <c r="D1" s="403"/>
      <c r="E1" s="400" t="s">
        <v>164</v>
      </c>
      <c r="F1" s="400"/>
      <c r="G1" s="400" t="s">
        <v>165</v>
      </c>
      <c r="H1" s="400"/>
      <c r="I1" s="400" t="s">
        <v>166</v>
      </c>
      <c r="J1" s="400"/>
      <c r="K1" s="400" t="s">
        <v>167</v>
      </c>
      <c r="L1" s="400"/>
      <c r="M1" s="400" t="s">
        <v>168</v>
      </c>
      <c r="N1" s="400"/>
      <c r="O1" s="400" t="s">
        <v>169</v>
      </c>
      <c r="P1" s="400"/>
      <c r="Q1" s="400" t="s">
        <v>170</v>
      </c>
      <c r="R1" s="400"/>
      <c r="S1" s="400" t="s">
        <v>171</v>
      </c>
      <c r="T1" s="400"/>
      <c r="U1" s="401" t="s">
        <v>172</v>
      </c>
      <c r="V1" s="402"/>
      <c r="W1" s="401" t="s">
        <v>173</v>
      </c>
      <c r="X1" s="402"/>
      <c r="Y1" s="401" t="s">
        <v>236</v>
      </c>
      <c r="Z1" s="402"/>
      <c r="AA1" s="400" t="s">
        <v>175</v>
      </c>
      <c r="AB1" s="400"/>
      <c r="AC1" s="400" t="s">
        <v>176</v>
      </c>
      <c r="AD1" s="400"/>
      <c r="AE1" s="400" t="s">
        <v>177</v>
      </c>
      <c r="AF1" s="400"/>
      <c r="AG1" s="400" t="s">
        <v>178</v>
      </c>
      <c r="AH1" s="400"/>
      <c r="AI1" s="400" t="s">
        <v>179</v>
      </c>
      <c r="AJ1" s="400"/>
      <c r="AK1" s="401" t="s">
        <v>271</v>
      </c>
      <c r="AL1" s="402"/>
      <c r="AM1" s="401" t="s">
        <v>180</v>
      </c>
      <c r="AN1" s="402"/>
      <c r="AO1" s="400" t="s">
        <v>181</v>
      </c>
      <c r="AP1" s="400"/>
      <c r="AQ1" s="400" t="s">
        <v>182</v>
      </c>
      <c r="AR1" s="400"/>
      <c r="AS1" s="401" t="s">
        <v>184</v>
      </c>
      <c r="AT1" s="402"/>
      <c r="AU1" s="400" t="s">
        <v>185</v>
      </c>
      <c r="AV1" s="400"/>
      <c r="AW1" s="400" t="s">
        <v>89</v>
      </c>
      <c r="AX1" s="400"/>
      <c r="AY1" s="240"/>
      <c r="AZ1" s="240"/>
      <c r="BA1" s="240"/>
      <c r="BB1" s="240"/>
      <c r="BC1" s="240"/>
      <c r="BD1" s="240"/>
    </row>
    <row r="2" spans="1:56" s="245" customFormat="1" ht="33" customHeight="1">
      <c r="A2" s="242"/>
      <c r="B2" s="243"/>
      <c r="C2" s="244" t="s">
        <v>90</v>
      </c>
      <c r="D2" s="244" t="s">
        <v>91</v>
      </c>
      <c r="E2" s="244" t="s">
        <v>90</v>
      </c>
      <c r="F2" s="244" t="s">
        <v>91</v>
      </c>
      <c r="G2" s="244" t="s">
        <v>90</v>
      </c>
      <c r="H2" s="244" t="s">
        <v>91</v>
      </c>
      <c r="I2" s="244" t="s">
        <v>90</v>
      </c>
      <c r="J2" s="244" t="s">
        <v>91</v>
      </c>
      <c r="K2" s="244" t="s">
        <v>90</v>
      </c>
      <c r="L2" s="244" t="s">
        <v>91</v>
      </c>
      <c r="M2" s="244" t="s">
        <v>90</v>
      </c>
      <c r="N2" s="244" t="s">
        <v>91</v>
      </c>
      <c r="O2" s="244" t="s">
        <v>90</v>
      </c>
      <c r="P2" s="244" t="s">
        <v>91</v>
      </c>
      <c r="Q2" s="244" t="s">
        <v>90</v>
      </c>
      <c r="R2" s="244" t="s">
        <v>91</v>
      </c>
      <c r="S2" s="244" t="s">
        <v>90</v>
      </c>
      <c r="T2" s="244" t="s">
        <v>91</v>
      </c>
      <c r="U2" s="244" t="s">
        <v>90</v>
      </c>
      <c r="V2" s="244" t="s">
        <v>91</v>
      </c>
      <c r="W2" s="244" t="s">
        <v>90</v>
      </c>
      <c r="X2" s="244" t="s">
        <v>91</v>
      </c>
      <c r="Y2" s="244" t="s">
        <v>90</v>
      </c>
      <c r="Z2" s="244" t="s">
        <v>91</v>
      </c>
      <c r="AA2" s="244" t="s">
        <v>90</v>
      </c>
      <c r="AB2" s="244" t="s">
        <v>91</v>
      </c>
      <c r="AC2" s="244" t="s">
        <v>90</v>
      </c>
      <c r="AD2" s="244" t="s">
        <v>91</v>
      </c>
      <c r="AE2" s="244" t="s">
        <v>90</v>
      </c>
      <c r="AF2" s="244" t="s">
        <v>91</v>
      </c>
      <c r="AG2" s="244" t="s">
        <v>90</v>
      </c>
      <c r="AH2" s="244" t="s">
        <v>91</v>
      </c>
      <c r="AI2" s="244" t="s">
        <v>90</v>
      </c>
      <c r="AJ2" s="244" t="s">
        <v>91</v>
      </c>
      <c r="AK2" s="244" t="s">
        <v>90</v>
      </c>
      <c r="AL2" s="244" t="s">
        <v>91</v>
      </c>
      <c r="AM2" s="244" t="s">
        <v>90</v>
      </c>
      <c r="AN2" s="244" t="s">
        <v>91</v>
      </c>
      <c r="AO2" s="244" t="s">
        <v>90</v>
      </c>
      <c r="AP2" s="244" t="s">
        <v>91</v>
      </c>
      <c r="AQ2" s="244" t="s">
        <v>90</v>
      </c>
      <c r="AR2" s="244" t="s">
        <v>91</v>
      </c>
      <c r="AS2" s="244" t="s">
        <v>90</v>
      </c>
      <c r="AT2" s="244" t="s">
        <v>91</v>
      </c>
      <c r="AU2" s="244" t="s">
        <v>90</v>
      </c>
      <c r="AV2" s="244" t="s">
        <v>91</v>
      </c>
      <c r="AW2" s="244" t="s">
        <v>90</v>
      </c>
      <c r="AX2" s="244" t="s">
        <v>91</v>
      </c>
      <c r="AY2" s="240"/>
      <c r="AZ2" s="240"/>
      <c r="BA2" s="240"/>
      <c r="BB2" s="240"/>
      <c r="BC2" s="240"/>
      <c r="BD2" s="240"/>
    </row>
    <row r="3" spans="1:56" ht="28.5" customHeight="1">
      <c r="A3" s="246">
        <v>1</v>
      </c>
      <c r="B3" s="247" t="s">
        <v>222</v>
      </c>
      <c r="C3" s="248"/>
      <c r="D3" s="248"/>
      <c r="E3" s="248">
        <v>0.46</v>
      </c>
      <c r="F3" s="248">
        <v>3.01</v>
      </c>
      <c r="G3" s="248">
        <v>0.32</v>
      </c>
      <c r="H3" s="248">
        <v>3.26</v>
      </c>
      <c r="I3" s="248">
        <v>0.44</v>
      </c>
      <c r="J3" s="248">
        <v>3.49</v>
      </c>
      <c r="K3" s="248">
        <v>0.11</v>
      </c>
      <c r="L3" s="248">
        <v>0.98</v>
      </c>
      <c r="M3" s="248"/>
      <c r="N3" s="248"/>
      <c r="O3" s="248"/>
      <c r="P3" s="248"/>
      <c r="Q3" s="248">
        <v>0.06</v>
      </c>
      <c r="R3" s="248">
        <v>0.87</v>
      </c>
      <c r="S3" s="248">
        <v>0.31</v>
      </c>
      <c r="T3" s="248">
        <v>2.76</v>
      </c>
      <c r="U3" s="248">
        <v>0.05</v>
      </c>
      <c r="V3" s="248">
        <v>0.27</v>
      </c>
      <c r="W3" s="248"/>
      <c r="X3" s="248"/>
      <c r="Y3" s="248">
        <v>0.79</v>
      </c>
      <c r="Z3" s="248">
        <v>5.08</v>
      </c>
      <c r="AA3" s="249"/>
      <c r="AB3" s="249"/>
      <c r="AC3" s="248"/>
      <c r="AD3" s="248"/>
      <c r="AE3" s="248"/>
      <c r="AF3" s="248"/>
      <c r="AG3" s="249"/>
      <c r="AH3" s="249"/>
      <c r="AI3" s="248">
        <v>0.13</v>
      </c>
      <c r="AJ3" s="248">
        <v>1.08</v>
      </c>
      <c r="AK3" s="248">
        <v>0.54</v>
      </c>
      <c r="AL3" s="248">
        <v>5.82</v>
      </c>
      <c r="AM3" s="248">
        <v>0.06</v>
      </c>
      <c r="AN3" s="248">
        <v>0.9</v>
      </c>
      <c r="AO3" s="248">
        <v>0.09</v>
      </c>
      <c r="AP3" s="248">
        <v>1.3</v>
      </c>
      <c r="AQ3" s="248">
        <v>0.16</v>
      </c>
      <c r="AR3" s="248">
        <v>1.38</v>
      </c>
      <c r="AS3" s="248"/>
      <c r="AT3" s="248"/>
      <c r="AU3" s="248">
        <v>1.91</v>
      </c>
      <c r="AV3" s="248">
        <v>13.16</v>
      </c>
      <c r="AW3" s="250">
        <f>C3+E3+G3+I3+K3+M3+O3+Q3+S3+U3+W3+Y3+AA3+AC3+AE3+AG3+AI3+AK3+AM3+AO3+AQ3+AS3+AU3</f>
        <v>5.43</v>
      </c>
      <c r="AX3" s="250">
        <f>D3+F3+H3+J3+L3+N3+P3+R3+T3+V3+X3+Z3+AB3+AD3+AF3+AH3+AJ3+AL3+AN3+AP3+AR3+AT3+AV3</f>
        <v>43.36</v>
      </c>
    </row>
    <row r="4" spans="1:56" ht="28.5" customHeight="1">
      <c r="A4" s="246">
        <v>2</v>
      </c>
      <c r="B4" s="247" t="s">
        <v>223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49"/>
      <c r="AC4" s="248"/>
      <c r="AD4" s="248"/>
      <c r="AE4" s="248"/>
      <c r="AF4" s="248"/>
      <c r="AG4" s="249"/>
      <c r="AH4" s="249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>
        <v>0.153</v>
      </c>
      <c r="AV4" s="248">
        <v>2.5289999999999999</v>
      </c>
      <c r="AW4" s="250">
        <f t="shared" ref="AW4:AW9" si="0">C4+E4+G4+I4+K4+M4+O4+Q4+S4+U4+W4+Y4+AA4+AC4+AE4+AG4+AI4+AK4+AM4+AO4+AQ4+AS4+AU4</f>
        <v>0.153</v>
      </c>
      <c r="AX4" s="250">
        <f t="shared" ref="AX4:AX9" si="1">D4+F4+H4+J4+L4+N4+P4+R4+T4+V4+X4+Z4+AB4+AD4+AF4+AH4+AJ4+AL4+AN4+AP4+AR4+AT4+AV4</f>
        <v>2.5289999999999999</v>
      </c>
    </row>
    <row r="5" spans="1:56" ht="28.5" customHeight="1">
      <c r="A5" s="246">
        <v>3</v>
      </c>
      <c r="B5" s="247" t="s">
        <v>224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9"/>
      <c r="AB5" s="249"/>
      <c r="AC5" s="248"/>
      <c r="AD5" s="248"/>
      <c r="AE5" s="248"/>
      <c r="AF5" s="248"/>
      <c r="AG5" s="249"/>
      <c r="AH5" s="249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>
        <v>0.02</v>
      </c>
      <c r="AV5" s="248">
        <v>1.96</v>
      </c>
      <c r="AW5" s="250">
        <f t="shared" si="0"/>
        <v>0.02</v>
      </c>
      <c r="AX5" s="250">
        <f t="shared" si="1"/>
        <v>1.96</v>
      </c>
    </row>
    <row r="6" spans="1:56" ht="28.5" customHeight="1">
      <c r="A6" s="246">
        <v>4</v>
      </c>
      <c r="B6" s="251" t="s">
        <v>225</v>
      </c>
      <c r="C6" s="248"/>
      <c r="D6" s="248"/>
      <c r="E6" s="248">
        <v>0.64700000000000002</v>
      </c>
      <c r="F6" s="248">
        <v>10.587</v>
      </c>
      <c r="G6" s="248">
        <v>0.93200000000000005</v>
      </c>
      <c r="H6" s="248">
        <v>14.691000000000001</v>
      </c>
      <c r="I6" s="248">
        <v>1.0640000000000001</v>
      </c>
      <c r="J6" s="248">
        <v>14.326000000000001</v>
      </c>
      <c r="K6" s="248"/>
      <c r="L6" s="248"/>
      <c r="M6" s="248"/>
      <c r="N6" s="248"/>
      <c r="O6" s="248">
        <v>0.99299999999999999</v>
      </c>
      <c r="P6" s="248">
        <v>19.568000000000001</v>
      </c>
      <c r="Q6" s="248">
        <v>2.93</v>
      </c>
      <c r="R6" s="248">
        <v>48.045000000000002</v>
      </c>
      <c r="S6" s="248">
        <v>0.67900000000000005</v>
      </c>
      <c r="T6" s="248">
        <v>10.331</v>
      </c>
      <c r="U6" s="248"/>
      <c r="V6" s="248"/>
      <c r="W6" s="248"/>
      <c r="X6" s="248"/>
      <c r="Y6" s="248">
        <v>1.083</v>
      </c>
      <c r="Z6" s="248">
        <v>17.259</v>
      </c>
      <c r="AA6" s="249">
        <v>0.878</v>
      </c>
      <c r="AB6" s="249">
        <v>16.574999999999999</v>
      </c>
      <c r="AC6" s="248"/>
      <c r="AD6" s="248"/>
      <c r="AE6" s="248">
        <v>0.435</v>
      </c>
      <c r="AF6" s="248">
        <v>6.6310000000000002</v>
      </c>
      <c r="AG6" s="249">
        <v>0.69299999999999995</v>
      </c>
      <c r="AH6" s="249">
        <v>17.135999999999999</v>
      </c>
      <c r="AI6" s="248">
        <v>2.6989999999999998</v>
      </c>
      <c r="AJ6" s="248">
        <v>41.094999999999999</v>
      </c>
      <c r="AK6" s="248"/>
      <c r="AL6" s="248"/>
      <c r="AM6" s="248"/>
      <c r="AN6" s="248"/>
      <c r="AO6" s="248"/>
      <c r="AP6" s="248"/>
      <c r="AQ6" s="248">
        <v>0.87</v>
      </c>
      <c r="AR6" s="248">
        <v>13.023</v>
      </c>
      <c r="AS6" s="248"/>
      <c r="AT6" s="248">
        <v>3.74</v>
      </c>
      <c r="AU6" s="248">
        <v>10.135</v>
      </c>
      <c r="AV6" s="248">
        <v>139.81700000000001</v>
      </c>
      <c r="AW6" s="250">
        <f t="shared" si="0"/>
        <v>24.038</v>
      </c>
      <c r="AX6" s="250">
        <f t="shared" si="1"/>
        <v>372.82400000000001</v>
      </c>
    </row>
    <row r="7" spans="1:56" ht="28.5" customHeight="1">
      <c r="A7" s="246">
        <v>5</v>
      </c>
      <c r="B7" s="252" t="s">
        <v>226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>
        <v>7.8E-2</v>
      </c>
      <c r="AN7" s="253">
        <v>0.223</v>
      </c>
      <c r="AO7" s="253"/>
      <c r="AP7" s="253"/>
      <c r="AQ7" s="253"/>
      <c r="AR7" s="253"/>
      <c r="AS7" s="253"/>
      <c r="AT7" s="253">
        <v>7.48</v>
      </c>
      <c r="AU7" s="253">
        <v>8.0299999999999994</v>
      </c>
      <c r="AV7" s="253">
        <v>78.387</v>
      </c>
      <c r="AW7" s="250">
        <f t="shared" si="0"/>
        <v>8.1079999999999988</v>
      </c>
      <c r="AX7" s="250">
        <f t="shared" si="1"/>
        <v>86.09</v>
      </c>
    </row>
    <row r="8" spans="1:56" ht="28.5" customHeight="1">
      <c r="A8" s="246">
        <v>6</v>
      </c>
      <c r="B8" s="247" t="s">
        <v>241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9"/>
      <c r="AB8" s="249"/>
      <c r="AC8" s="248"/>
      <c r="AD8" s="248"/>
      <c r="AE8" s="248"/>
      <c r="AF8" s="248"/>
      <c r="AG8" s="249"/>
      <c r="AH8" s="249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>
        <v>0.33</v>
      </c>
      <c r="AV8" s="248">
        <v>0.76</v>
      </c>
      <c r="AW8" s="250">
        <f t="shared" si="0"/>
        <v>0.33</v>
      </c>
      <c r="AX8" s="250">
        <f t="shared" si="1"/>
        <v>0.76</v>
      </c>
    </row>
    <row r="9" spans="1:56" ht="28.5" customHeight="1">
      <c r="A9" s="246">
        <v>7</v>
      </c>
      <c r="B9" s="254" t="s">
        <v>227</v>
      </c>
      <c r="C9" s="248">
        <v>3.0000000000000001E-3</v>
      </c>
      <c r="D9" s="248">
        <v>2.9000000000000001E-2</v>
      </c>
      <c r="E9" s="255">
        <v>2.1999999999999999E-2</v>
      </c>
      <c r="F9" s="255">
        <v>0.28999999999999998</v>
      </c>
      <c r="G9" s="255">
        <v>2.5000000000000001E-2</v>
      </c>
      <c r="H9" s="255">
        <v>0.51</v>
      </c>
      <c r="I9" s="255">
        <v>0.107</v>
      </c>
      <c r="J9" s="255">
        <v>2.5049999999999999</v>
      </c>
      <c r="K9" s="255">
        <v>2.9999999999999997E-4</v>
      </c>
      <c r="L9" s="248">
        <v>5.0000000000000001E-3</v>
      </c>
      <c r="M9" s="248"/>
      <c r="N9" s="248"/>
      <c r="O9" s="248"/>
      <c r="P9" s="248"/>
      <c r="Q9" s="248">
        <v>2.0000000000000001E-4</v>
      </c>
      <c r="R9" s="248">
        <v>2E-3</v>
      </c>
      <c r="S9" s="248">
        <v>3.0000000000000001E-3</v>
      </c>
      <c r="T9" s="248">
        <v>0.02</v>
      </c>
      <c r="U9" s="248">
        <v>3.5000000000000003E-2</v>
      </c>
      <c r="V9" s="248">
        <v>0.47</v>
      </c>
      <c r="W9" s="248">
        <v>3.0000000000000001E-3</v>
      </c>
      <c r="X9" s="248">
        <v>0.06</v>
      </c>
      <c r="Y9" s="248">
        <v>7.9000000000000001E-2</v>
      </c>
      <c r="Z9" s="248">
        <v>1.085</v>
      </c>
      <c r="AA9" s="249">
        <v>6.0000000000000001E-3</v>
      </c>
      <c r="AB9" s="249">
        <v>4.5999999999999999E-2</v>
      </c>
      <c r="AC9" s="248"/>
      <c r="AD9" s="248"/>
      <c r="AE9" s="248"/>
      <c r="AF9" s="248"/>
      <c r="AG9" s="249"/>
      <c r="AH9" s="249"/>
      <c r="AI9" s="248">
        <v>5.0000000000000001E-3</v>
      </c>
      <c r="AJ9" s="248">
        <v>0.01</v>
      </c>
      <c r="AK9" s="248">
        <v>1.7999999999999999E-2</v>
      </c>
      <c r="AL9" s="248">
        <v>0.108</v>
      </c>
      <c r="AM9" s="248"/>
      <c r="AN9" s="248"/>
      <c r="AO9" s="248">
        <v>0.1</v>
      </c>
      <c r="AP9" s="248">
        <v>3.5009999999999999</v>
      </c>
      <c r="AQ9" s="248">
        <v>2E-3</v>
      </c>
      <c r="AR9" s="248">
        <v>5.7000000000000002E-2</v>
      </c>
      <c r="AS9" s="248"/>
      <c r="AT9" s="248"/>
      <c r="AU9" s="248">
        <f>0.008+0.005+0.032+0.003+0.012+0.014+0.03+0.0002+0.002+0.0004</f>
        <v>0.1066</v>
      </c>
      <c r="AV9" s="248">
        <f>0.04+0.056+0.51+0.105+0.168+0.21+0.92+0.004+0.015+0.002</f>
        <v>2.0299999999999998</v>
      </c>
      <c r="AW9" s="250">
        <f t="shared" si="0"/>
        <v>0.51510000000000011</v>
      </c>
      <c r="AX9" s="250">
        <f t="shared" si="1"/>
        <v>10.727999999999998</v>
      </c>
    </row>
    <row r="10" spans="1:56" ht="28.5" customHeight="1">
      <c r="A10" s="242"/>
      <c r="B10" s="256" t="s">
        <v>89</v>
      </c>
      <c r="C10" s="250">
        <f>C3+C4+C5+C6+C7+C8+C9</f>
        <v>3.0000000000000001E-3</v>
      </c>
      <c r="D10" s="250">
        <f t="shared" ref="D10:AX10" si="2">D3+D4+D5+D6+D7+D8+D9</f>
        <v>2.9000000000000001E-2</v>
      </c>
      <c r="E10" s="250">
        <f t="shared" si="2"/>
        <v>1.129</v>
      </c>
      <c r="F10" s="250">
        <f t="shared" si="2"/>
        <v>13.886999999999999</v>
      </c>
      <c r="G10" s="250">
        <f t="shared" si="2"/>
        <v>1.2769999999999999</v>
      </c>
      <c r="H10" s="250">
        <f t="shared" si="2"/>
        <v>18.461000000000002</v>
      </c>
      <c r="I10" s="250">
        <f t="shared" si="2"/>
        <v>1.611</v>
      </c>
      <c r="J10" s="250">
        <f t="shared" si="2"/>
        <v>20.321000000000002</v>
      </c>
      <c r="K10" s="250">
        <f t="shared" si="2"/>
        <v>0.1103</v>
      </c>
      <c r="L10" s="250">
        <f t="shared" si="2"/>
        <v>0.98499999999999999</v>
      </c>
      <c r="M10" s="250">
        <f t="shared" si="2"/>
        <v>0</v>
      </c>
      <c r="N10" s="250">
        <f t="shared" si="2"/>
        <v>0</v>
      </c>
      <c r="O10" s="250">
        <f t="shared" si="2"/>
        <v>0.99299999999999999</v>
      </c>
      <c r="P10" s="250">
        <f t="shared" si="2"/>
        <v>19.568000000000001</v>
      </c>
      <c r="Q10" s="250">
        <f t="shared" si="2"/>
        <v>2.9902000000000002</v>
      </c>
      <c r="R10" s="250">
        <f t="shared" si="2"/>
        <v>48.917000000000002</v>
      </c>
      <c r="S10" s="250">
        <f t="shared" si="2"/>
        <v>0.9920000000000001</v>
      </c>
      <c r="T10" s="250">
        <f t="shared" si="2"/>
        <v>13.110999999999999</v>
      </c>
      <c r="U10" s="250">
        <f t="shared" si="2"/>
        <v>8.5000000000000006E-2</v>
      </c>
      <c r="V10" s="250">
        <f t="shared" si="2"/>
        <v>0.74</v>
      </c>
      <c r="W10" s="250">
        <f t="shared" si="2"/>
        <v>3.0000000000000001E-3</v>
      </c>
      <c r="X10" s="250">
        <f t="shared" si="2"/>
        <v>0.06</v>
      </c>
      <c r="Y10" s="250">
        <f t="shared" si="2"/>
        <v>1.952</v>
      </c>
      <c r="Z10" s="250">
        <f t="shared" si="2"/>
        <v>23.423999999999999</v>
      </c>
      <c r="AA10" s="250">
        <f t="shared" si="2"/>
        <v>0.88400000000000001</v>
      </c>
      <c r="AB10" s="250">
        <f t="shared" si="2"/>
        <v>16.620999999999999</v>
      </c>
      <c r="AC10" s="250">
        <f t="shared" si="2"/>
        <v>0</v>
      </c>
      <c r="AD10" s="250">
        <f t="shared" si="2"/>
        <v>0</v>
      </c>
      <c r="AE10" s="250">
        <f t="shared" si="2"/>
        <v>0.435</v>
      </c>
      <c r="AF10" s="250">
        <f t="shared" si="2"/>
        <v>6.6310000000000002</v>
      </c>
      <c r="AG10" s="250">
        <f t="shared" si="2"/>
        <v>0.69299999999999995</v>
      </c>
      <c r="AH10" s="250">
        <f t="shared" si="2"/>
        <v>17.135999999999999</v>
      </c>
      <c r="AI10" s="250">
        <f t="shared" si="2"/>
        <v>2.8339999999999996</v>
      </c>
      <c r="AJ10" s="250">
        <f t="shared" si="2"/>
        <v>42.184999999999995</v>
      </c>
      <c r="AK10" s="250">
        <f t="shared" si="2"/>
        <v>0.55800000000000005</v>
      </c>
      <c r="AL10" s="250">
        <f t="shared" si="2"/>
        <v>5.9279999999999999</v>
      </c>
      <c r="AM10" s="250">
        <f t="shared" si="2"/>
        <v>0.13800000000000001</v>
      </c>
      <c r="AN10" s="250">
        <f t="shared" si="2"/>
        <v>1.123</v>
      </c>
      <c r="AO10" s="250">
        <f t="shared" si="2"/>
        <v>0.19</v>
      </c>
      <c r="AP10" s="250">
        <f t="shared" si="2"/>
        <v>4.8010000000000002</v>
      </c>
      <c r="AQ10" s="250">
        <f t="shared" si="2"/>
        <v>1.032</v>
      </c>
      <c r="AR10" s="250">
        <f t="shared" si="2"/>
        <v>14.459999999999999</v>
      </c>
      <c r="AS10" s="250">
        <f t="shared" si="2"/>
        <v>0</v>
      </c>
      <c r="AT10" s="250">
        <f t="shared" si="2"/>
        <v>11.22</v>
      </c>
      <c r="AU10" s="250">
        <f t="shared" si="2"/>
        <v>20.684599999999996</v>
      </c>
      <c r="AV10" s="250">
        <f t="shared" si="2"/>
        <v>238.643</v>
      </c>
      <c r="AW10" s="250">
        <f t="shared" si="2"/>
        <v>38.59409999999999</v>
      </c>
      <c r="AX10" s="250">
        <f t="shared" si="2"/>
        <v>518.25099999999998</v>
      </c>
    </row>
    <row r="11" spans="1:56" ht="21.75" customHeight="1">
      <c r="C11" s="257"/>
      <c r="D11" s="257" t="s">
        <v>235</v>
      </c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8"/>
      <c r="AP11" s="259"/>
      <c r="AQ11" s="260"/>
      <c r="AR11" s="260"/>
      <c r="AS11" s="260"/>
      <c r="AT11" s="260"/>
      <c r="AU11" s="261"/>
      <c r="AV11" s="260"/>
      <c r="AW11" s="260"/>
      <c r="AX11" s="257"/>
    </row>
    <row r="12" spans="1:56" ht="21.75" customHeight="1">
      <c r="AW12" s="262"/>
      <c r="AX12" s="262"/>
    </row>
    <row r="15" spans="1:56" ht="21.75" customHeight="1">
      <c r="AO15" s="263"/>
      <c r="AP15" s="264"/>
      <c r="AQ15" s="265"/>
      <c r="AR15" s="265"/>
      <c r="AS15" s="265"/>
      <c r="AT15" s="265"/>
      <c r="AU15" s="266"/>
      <c r="AV15" s="265"/>
      <c r="AW15" s="265"/>
      <c r="AX15" s="265"/>
    </row>
    <row r="16" spans="1:56" ht="21.75" customHeight="1">
      <c r="AO16" s="263"/>
      <c r="AP16" s="264"/>
      <c r="AQ16" s="265"/>
      <c r="AR16" s="265"/>
      <c r="AS16" s="265"/>
      <c r="AT16" s="265"/>
      <c r="AU16" s="266"/>
      <c r="AV16" s="265"/>
      <c r="AW16" s="265"/>
    </row>
    <row r="17" spans="41:49" ht="21.75" customHeight="1">
      <c r="AO17" s="263"/>
      <c r="AP17" s="264"/>
      <c r="AQ17" s="265"/>
      <c r="AR17" s="265"/>
      <c r="AS17" s="265"/>
      <c r="AT17" s="265"/>
      <c r="AU17" s="266"/>
      <c r="AV17" s="265"/>
      <c r="AW17" s="265"/>
    </row>
    <row r="18" spans="41:49" ht="21.75" customHeight="1">
      <c r="AO18" s="263"/>
      <c r="AP18" s="264"/>
      <c r="AQ18" s="265"/>
      <c r="AR18" s="265"/>
      <c r="AS18" s="265"/>
      <c r="AT18" s="265"/>
      <c r="AU18" s="266"/>
      <c r="AV18" s="265"/>
      <c r="AW18" s="265"/>
    </row>
    <row r="19" spans="41:49" ht="21.75" customHeight="1">
      <c r="AO19" s="263"/>
      <c r="AP19" s="264"/>
      <c r="AQ19" s="265"/>
      <c r="AR19" s="265"/>
      <c r="AS19" s="265"/>
      <c r="AT19" s="265"/>
      <c r="AU19" s="266"/>
      <c r="AV19" s="265"/>
      <c r="AW19" s="265"/>
    </row>
    <row r="20" spans="41:49" ht="21.75" customHeight="1">
      <c r="AO20" s="263"/>
      <c r="AP20" s="264"/>
      <c r="AQ20" s="265"/>
      <c r="AR20" s="265"/>
      <c r="AS20" s="265"/>
      <c r="AT20" s="265"/>
      <c r="AU20" s="267"/>
      <c r="AV20" s="265"/>
      <c r="AW20" s="265"/>
    </row>
    <row r="21" spans="41:49" ht="21.75" customHeight="1">
      <c r="AO21" s="263"/>
      <c r="AP21" s="268"/>
      <c r="AQ21" s="265"/>
      <c r="AR21" s="265"/>
      <c r="AS21" s="265"/>
      <c r="AT21" s="265"/>
      <c r="AU21" s="266"/>
      <c r="AV21" s="265"/>
      <c r="AW21" s="265"/>
    </row>
    <row r="22" spans="41:49" ht="21.75" customHeight="1">
      <c r="AO22" s="263"/>
      <c r="AP22" s="264"/>
      <c r="AQ22" s="265"/>
      <c r="AR22" s="265"/>
      <c r="AS22" s="265"/>
      <c r="AT22" s="265"/>
      <c r="AU22" s="266"/>
      <c r="AV22" s="265"/>
      <c r="AW22" s="265"/>
    </row>
    <row r="23" spans="41:49" ht="21.75" customHeight="1">
      <c r="AO23" s="263"/>
      <c r="AP23" s="264"/>
      <c r="AQ23" s="265"/>
      <c r="AR23" s="265"/>
      <c r="AS23" s="265"/>
      <c r="AT23" s="265"/>
      <c r="AU23" s="266"/>
      <c r="AV23" s="265"/>
      <c r="AW23" s="265"/>
    </row>
    <row r="24" spans="41:49" ht="21.75" customHeight="1">
      <c r="AO24" s="263"/>
      <c r="AP24" s="269"/>
      <c r="AQ24" s="265"/>
      <c r="AR24" s="265"/>
      <c r="AS24" s="265"/>
      <c r="AT24" s="265"/>
      <c r="AU24" s="266"/>
      <c r="AV24" s="265"/>
      <c r="AW24" s="265"/>
    </row>
    <row r="25" spans="41:49" ht="21.75" customHeight="1">
      <c r="AO25" s="263"/>
      <c r="AP25" s="264"/>
      <c r="AQ25" s="265"/>
      <c r="AR25" s="265"/>
      <c r="AS25" s="265"/>
      <c r="AT25" s="265"/>
      <c r="AU25" s="266"/>
      <c r="AV25" s="265"/>
      <c r="AW25" s="265"/>
    </row>
    <row r="26" spans="41:49" ht="21.75" customHeight="1">
      <c r="AO26" s="263"/>
      <c r="AP26" s="264"/>
      <c r="AQ26" s="265"/>
      <c r="AR26" s="265"/>
      <c r="AS26" s="265"/>
      <c r="AT26" s="265"/>
      <c r="AU26" s="267"/>
      <c r="AV26" s="265"/>
      <c r="AW26" s="265"/>
    </row>
    <row r="27" spans="41:49" ht="21.75" customHeight="1">
      <c r="AO27" s="263"/>
      <c r="AP27" s="264"/>
      <c r="AQ27" s="265"/>
      <c r="AR27" s="265"/>
      <c r="AS27" s="265"/>
      <c r="AT27" s="265"/>
      <c r="AU27" s="265"/>
      <c r="AV27" s="265"/>
      <c r="AW27" s="265"/>
    </row>
    <row r="28" spans="41:49" ht="21.75" customHeight="1">
      <c r="AO28" s="263"/>
      <c r="AP28" s="264"/>
      <c r="AQ28" s="265"/>
      <c r="AR28" s="265"/>
      <c r="AS28" s="265"/>
      <c r="AT28" s="265"/>
      <c r="AU28" s="265"/>
      <c r="AV28" s="265"/>
      <c r="AW28" s="265"/>
    </row>
    <row r="29" spans="41:49" ht="21.75" customHeight="1">
      <c r="AO29" s="263"/>
      <c r="AP29" s="264"/>
      <c r="AQ29" s="265"/>
      <c r="AR29" s="265"/>
      <c r="AS29" s="265"/>
      <c r="AT29" s="265"/>
      <c r="AU29" s="265"/>
      <c r="AV29" s="265"/>
      <c r="AW29" s="265"/>
    </row>
    <row r="30" spans="41:49" ht="21.75" customHeight="1">
      <c r="AO30" s="263"/>
      <c r="AP30" s="270"/>
      <c r="AQ30" s="265"/>
      <c r="AR30" s="265"/>
      <c r="AS30" s="265"/>
      <c r="AT30" s="265"/>
      <c r="AU30" s="265"/>
      <c r="AV30" s="265"/>
      <c r="AW30" s="265"/>
    </row>
    <row r="31" spans="41:49" ht="21.75" customHeight="1">
      <c r="AO31" s="263"/>
      <c r="AP31" s="264"/>
      <c r="AQ31" s="265"/>
      <c r="AR31" s="265"/>
      <c r="AS31" s="265"/>
      <c r="AT31" s="265"/>
      <c r="AU31" s="265"/>
      <c r="AV31" s="265"/>
      <c r="AW31" s="265"/>
    </row>
    <row r="32" spans="41:49" ht="21.75" customHeight="1">
      <c r="AO32" s="263"/>
      <c r="AP32" s="264"/>
      <c r="AQ32" s="265"/>
      <c r="AR32" s="265"/>
      <c r="AS32" s="265"/>
      <c r="AT32" s="265"/>
      <c r="AU32" s="265"/>
      <c r="AV32" s="265"/>
      <c r="AW32" s="265"/>
    </row>
    <row r="33" spans="41:49" ht="21.75" customHeight="1">
      <c r="AO33" s="263"/>
      <c r="AP33" s="264"/>
      <c r="AQ33" s="265"/>
      <c r="AR33" s="265"/>
      <c r="AS33" s="265"/>
      <c r="AT33" s="265"/>
      <c r="AU33" s="265"/>
      <c r="AV33" s="265"/>
      <c r="AW33" s="265"/>
    </row>
    <row r="34" spans="41:49" ht="21.75" customHeight="1">
      <c r="AO34" s="263"/>
      <c r="AP34" s="264"/>
      <c r="AQ34" s="265"/>
      <c r="AR34" s="265"/>
      <c r="AS34" s="265"/>
      <c r="AT34" s="265"/>
      <c r="AU34" s="265"/>
      <c r="AV34" s="265"/>
      <c r="AW34" s="265"/>
    </row>
    <row r="35" spans="41:49" ht="21.75" customHeight="1">
      <c r="AO35" s="263"/>
      <c r="AP35" s="264"/>
      <c r="AQ35" s="265"/>
      <c r="AR35" s="265"/>
      <c r="AS35" s="265"/>
      <c r="AT35" s="265"/>
      <c r="AU35" s="265"/>
      <c r="AV35" s="265"/>
      <c r="AW35" s="265"/>
    </row>
    <row r="36" spans="41:49" ht="21.75" customHeight="1">
      <c r="AO36" s="263"/>
      <c r="AP36" s="264"/>
      <c r="AQ36" s="265"/>
      <c r="AR36" s="265"/>
      <c r="AS36" s="265"/>
      <c r="AT36" s="265"/>
      <c r="AU36" s="265"/>
      <c r="AV36" s="265"/>
      <c r="AW36" s="265"/>
    </row>
    <row r="37" spans="41:49" ht="21.75" customHeight="1">
      <c r="AO37" s="265"/>
      <c r="AP37" s="265"/>
      <c r="AQ37" s="265"/>
    </row>
  </sheetData>
  <mergeCells count="24"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W1:AX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</mergeCells>
  <pageMargins left="0.2" right="0.2" top="1.23" bottom="0.34" header="0.86" footer="0.2"/>
  <pageSetup paperSize="9" scale="50" orientation="landscape" r:id="rId1"/>
  <headerFooter>
    <oddHeader>&amp;C&amp;"-,Bold"&amp;22Area and Production of Vegetable Crops 2021-22 (Second Advance Estimates)&amp;R&amp;"-,Bold"&amp;12Area in '000 Ha
Production in '000 Tonnes</oddHeader>
  </headerFooter>
  <colBreaks count="2" manualBreakCount="2">
    <brk id="18" max="31" man="1"/>
    <brk id="34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topLeftCell="B1" workbookViewId="0">
      <selection activeCell="B17" sqref="B17"/>
    </sheetView>
  </sheetViews>
  <sheetFormatPr defaultColWidth="9" defaultRowHeight="36" customHeight="1"/>
  <cols>
    <col min="1" max="1" width="10.125" style="272" customWidth="1"/>
    <col min="2" max="2" width="35.25" style="272" customWidth="1"/>
    <col min="3" max="3" width="8.5" style="272" customWidth="1"/>
    <col min="4" max="4" width="9.625" style="272" customWidth="1"/>
    <col min="5" max="5" width="12.875" style="272" customWidth="1"/>
    <col min="6" max="6" width="11.5" style="272" customWidth="1"/>
    <col min="7" max="7" width="7" style="272" customWidth="1"/>
    <col min="8" max="8" width="8.625" style="272" customWidth="1"/>
    <col min="9" max="9" width="10.875" style="272" customWidth="1"/>
    <col min="10" max="10" width="12" style="272" customWidth="1"/>
    <col min="11" max="11" width="13.125" style="272" customWidth="1"/>
    <col min="12" max="12" width="14.875" style="272" customWidth="1"/>
    <col min="13" max="13" width="13.5" style="272" customWidth="1"/>
    <col min="14" max="16384" width="9" style="272"/>
  </cols>
  <sheetData>
    <row r="1" spans="1:13" ht="32.25" customHeight="1">
      <c r="A1" s="271" t="s">
        <v>219</v>
      </c>
      <c r="B1" s="271" t="s">
        <v>84</v>
      </c>
      <c r="C1" s="404" t="s">
        <v>85</v>
      </c>
      <c r="D1" s="404"/>
      <c r="E1" s="405" t="s">
        <v>86</v>
      </c>
      <c r="F1" s="405"/>
      <c r="G1" s="405" t="s">
        <v>87</v>
      </c>
      <c r="H1" s="405"/>
      <c r="I1" s="405" t="s">
        <v>88</v>
      </c>
      <c r="J1" s="405"/>
      <c r="K1" s="405" t="s">
        <v>89</v>
      </c>
      <c r="L1" s="405"/>
    </row>
    <row r="2" spans="1:13" ht="21.75" customHeight="1">
      <c r="A2" s="273"/>
      <c r="B2" s="243"/>
      <c r="C2" s="274" t="s">
        <v>90</v>
      </c>
      <c r="D2" s="274" t="s">
        <v>91</v>
      </c>
      <c r="E2" s="274" t="s">
        <v>90</v>
      </c>
      <c r="F2" s="274" t="s">
        <v>91</v>
      </c>
      <c r="G2" s="274" t="s">
        <v>90</v>
      </c>
      <c r="H2" s="274" t="s">
        <v>91</v>
      </c>
      <c r="I2" s="274" t="s">
        <v>90</v>
      </c>
      <c r="J2" s="274" t="s">
        <v>91</v>
      </c>
      <c r="K2" s="274" t="s">
        <v>90</v>
      </c>
      <c r="L2" s="274" t="s">
        <v>91</v>
      </c>
    </row>
    <row r="3" spans="1:13" ht="25.5" customHeight="1" thickBot="1">
      <c r="A3" s="275">
        <v>1</v>
      </c>
      <c r="B3" s="276" t="s">
        <v>222</v>
      </c>
      <c r="C3" s="277">
        <v>4.351</v>
      </c>
      <c r="D3" s="277">
        <v>11.564</v>
      </c>
      <c r="E3" s="273"/>
      <c r="F3" s="273"/>
      <c r="G3" s="273"/>
      <c r="H3" s="273"/>
      <c r="I3" s="273">
        <v>18.100000000000001</v>
      </c>
      <c r="J3" s="273">
        <f>0.14/1453.24*1000000</f>
        <v>96.336461974622239</v>
      </c>
      <c r="K3" s="278">
        <f>C3+E3+G3+I3</f>
        <v>22.451000000000001</v>
      </c>
      <c r="L3" s="278">
        <f>D3+F3+H3+J3</f>
        <v>107.90046197462223</v>
      </c>
    </row>
    <row r="4" spans="1:13" ht="25.5" customHeight="1">
      <c r="A4" s="275">
        <v>2</v>
      </c>
      <c r="B4" s="276" t="s">
        <v>223</v>
      </c>
      <c r="C4" s="273"/>
      <c r="D4" s="273"/>
      <c r="E4" s="273"/>
      <c r="F4" s="273"/>
      <c r="G4" s="273"/>
      <c r="H4" s="273"/>
      <c r="I4" s="273">
        <v>0.02</v>
      </c>
      <c r="J4" s="273">
        <v>0.09</v>
      </c>
      <c r="K4" s="278">
        <f t="shared" ref="K4:K9" si="0">C4+E4+G4+I4</f>
        <v>0.02</v>
      </c>
      <c r="L4" s="278">
        <f t="shared" ref="L4:L9" si="1">D4+F4+H4+J4</f>
        <v>0.09</v>
      </c>
    </row>
    <row r="5" spans="1:13" ht="25.5" customHeight="1">
      <c r="A5" s="275">
        <v>3</v>
      </c>
      <c r="B5" s="276" t="s">
        <v>224</v>
      </c>
      <c r="C5" s="273"/>
      <c r="D5" s="273"/>
      <c r="E5" s="273"/>
      <c r="F5" s="273"/>
      <c r="G5" s="273"/>
      <c r="H5" s="273"/>
      <c r="I5" s="273">
        <v>0.01</v>
      </c>
      <c r="J5" s="273">
        <v>0.28999999999999998</v>
      </c>
      <c r="K5" s="278">
        <f t="shared" si="0"/>
        <v>0.01</v>
      </c>
      <c r="L5" s="278">
        <f t="shared" si="1"/>
        <v>0.28999999999999998</v>
      </c>
    </row>
    <row r="6" spans="1:13" ht="25.5" customHeight="1">
      <c r="A6" s="275">
        <v>4</v>
      </c>
      <c r="B6" s="279" t="s">
        <v>225</v>
      </c>
      <c r="C6" s="273"/>
      <c r="D6" s="273"/>
      <c r="E6" s="273"/>
      <c r="F6" s="273"/>
      <c r="G6" s="273"/>
      <c r="H6" s="273"/>
      <c r="I6" s="273"/>
      <c r="J6" s="273"/>
      <c r="K6" s="278">
        <f t="shared" si="0"/>
        <v>0</v>
      </c>
      <c r="L6" s="278">
        <f t="shared" si="1"/>
        <v>0</v>
      </c>
    </row>
    <row r="7" spans="1:13" ht="25.5" customHeight="1" thickBot="1">
      <c r="A7" s="275">
        <v>5</v>
      </c>
      <c r="B7" s="279" t="s">
        <v>226</v>
      </c>
      <c r="C7" s="277">
        <v>2</v>
      </c>
      <c r="D7" s="277">
        <v>4</v>
      </c>
      <c r="E7" s="273">
        <v>59.015999999999998</v>
      </c>
      <c r="F7" s="273">
        <v>17.891999999999999</v>
      </c>
      <c r="G7" s="273"/>
      <c r="H7" s="273"/>
      <c r="I7" s="273">
        <v>26.629000000000001</v>
      </c>
      <c r="J7" s="273">
        <f>1647/1453.24*100</f>
        <v>113.33296633728771</v>
      </c>
      <c r="K7" s="278">
        <f t="shared" si="0"/>
        <v>87.644999999999996</v>
      </c>
      <c r="L7" s="278">
        <f t="shared" si="1"/>
        <v>135.22496633728773</v>
      </c>
    </row>
    <row r="8" spans="1:13" ht="25.5" customHeight="1">
      <c r="A8" s="275">
        <v>6</v>
      </c>
      <c r="B8" s="276" t="s">
        <v>241</v>
      </c>
      <c r="C8" s="273"/>
      <c r="D8" s="273"/>
      <c r="E8" s="273"/>
      <c r="F8" s="273"/>
      <c r="G8" s="273"/>
      <c r="H8" s="273"/>
      <c r="I8" s="273">
        <v>2.75</v>
      </c>
      <c r="J8" s="273">
        <v>0.67</v>
      </c>
      <c r="K8" s="278">
        <f t="shared" si="0"/>
        <v>2.75</v>
      </c>
      <c r="L8" s="278">
        <f t="shared" si="1"/>
        <v>0.67</v>
      </c>
      <c r="M8" s="272" t="s">
        <v>228</v>
      </c>
    </row>
    <row r="9" spans="1:13" ht="25.5" customHeight="1" thickBot="1">
      <c r="A9" s="275">
        <v>7</v>
      </c>
      <c r="B9" s="280" t="s">
        <v>227</v>
      </c>
      <c r="C9" s="277">
        <v>5.1999999999999998E-2</v>
      </c>
      <c r="D9" s="277">
        <v>8.2000000000000003E-2</v>
      </c>
      <c r="E9" s="273">
        <v>5</v>
      </c>
      <c r="F9" s="273">
        <v>2.2389999999999999</v>
      </c>
      <c r="G9" s="273"/>
      <c r="H9" s="273"/>
      <c r="I9" s="273">
        <v>1.802</v>
      </c>
      <c r="J9" s="273">
        <f>182.93/1453.24</f>
        <v>0.12587734992155461</v>
      </c>
      <c r="K9" s="278">
        <f t="shared" si="0"/>
        <v>6.8539999999999992</v>
      </c>
      <c r="L9" s="278">
        <f t="shared" si="1"/>
        <v>2.4468773499215541</v>
      </c>
    </row>
    <row r="10" spans="1:13" ht="25.5" customHeight="1">
      <c r="A10" s="273"/>
      <c r="B10" s="281" t="s">
        <v>89</v>
      </c>
      <c r="C10" s="282">
        <f>C3+C4+C5+C6+C7+C8+C9</f>
        <v>6.4029999999999996</v>
      </c>
      <c r="D10" s="282">
        <f t="shared" ref="D10:L10" si="2">D3+D4+D5+D6+D7+D8+D9</f>
        <v>15.646000000000001</v>
      </c>
      <c r="E10" s="282">
        <f t="shared" si="2"/>
        <v>64.015999999999991</v>
      </c>
      <c r="F10" s="282">
        <f t="shared" si="2"/>
        <v>20.131</v>
      </c>
      <c r="G10" s="282">
        <f t="shared" si="2"/>
        <v>0</v>
      </c>
      <c r="H10" s="282">
        <f t="shared" si="2"/>
        <v>0</v>
      </c>
      <c r="I10" s="282">
        <f t="shared" si="2"/>
        <v>49.311</v>
      </c>
      <c r="J10" s="282">
        <f t="shared" si="2"/>
        <v>210.8453056618315</v>
      </c>
      <c r="K10" s="282">
        <f t="shared" si="2"/>
        <v>119.73</v>
      </c>
      <c r="L10" s="282">
        <f t="shared" si="2"/>
        <v>246.62230566183149</v>
      </c>
    </row>
    <row r="11" spans="1:13" s="285" customFormat="1" ht="15" customHeight="1">
      <c r="A11" s="283"/>
      <c r="B11" s="283"/>
      <c r="C11" s="284"/>
      <c r="D11" s="284"/>
      <c r="E11" s="284"/>
      <c r="F11" s="284"/>
      <c r="G11" s="284"/>
      <c r="H11" s="284"/>
      <c r="I11" s="284"/>
    </row>
    <row r="12" spans="1:13" s="285" customFormat="1" ht="15" customHeight="1">
      <c r="A12" s="286"/>
      <c r="B12" s="286"/>
      <c r="C12" s="286"/>
      <c r="D12" s="286"/>
      <c r="E12" s="286"/>
      <c r="F12" s="286"/>
      <c r="G12" s="287"/>
      <c r="H12" s="287"/>
      <c r="I12" s="287"/>
      <c r="J12" s="287"/>
    </row>
    <row r="13" spans="1:13" s="285" customFormat="1" ht="15" customHeight="1">
      <c r="A13" s="286"/>
      <c r="B13" s="286"/>
      <c r="C13" s="286"/>
      <c r="D13" s="286"/>
      <c r="E13" s="286"/>
      <c r="F13" s="286"/>
      <c r="G13" s="286"/>
      <c r="H13" s="286"/>
      <c r="I13" s="286"/>
      <c r="J13" s="286"/>
    </row>
    <row r="14" spans="1:13" s="285" customFormat="1" ht="15" customHeight="1">
      <c r="A14" s="286"/>
      <c r="B14" s="286"/>
      <c r="C14" s="286"/>
      <c r="D14" s="286"/>
      <c r="E14" s="286"/>
      <c r="F14" s="286"/>
      <c r="G14" s="286"/>
      <c r="H14" s="287"/>
      <c r="I14" s="287"/>
      <c r="J14" s="287"/>
    </row>
    <row r="15" spans="1:13" s="285" customFormat="1" ht="15" customHeight="1">
      <c r="A15" s="286"/>
      <c r="B15" s="286"/>
      <c r="C15" s="286"/>
      <c r="D15" s="286"/>
      <c r="E15" s="287"/>
      <c r="F15" s="286"/>
      <c r="G15" s="286"/>
      <c r="H15" s="287"/>
      <c r="I15" s="287"/>
      <c r="J15" s="287"/>
    </row>
    <row r="16" spans="1:13" ht="36" customHeight="1">
      <c r="B16" s="288"/>
      <c r="C16" s="289"/>
      <c r="D16" s="289"/>
      <c r="E16" s="289"/>
      <c r="F16" s="289"/>
      <c r="G16" s="289"/>
      <c r="H16" s="290"/>
      <c r="I16" s="290"/>
      <c r="J16" s="290"/>
      <c r="K16" s="290"/>
      <c r="L16" s="290"/>
    </row>
    <row r="17" spans="2:10" ht="36" customHeight="1">
      <c r="B17" s="288"/>
      <c r="C17" s="288"/>
      <c r="D17" s="288"/>
      <c r="E17" s="288"/>
      <c r="F17" s="288"/>
      <c r="G17" s="288"/>
      <c r="J17" s="291"/>
    </row>
    <row r="18" spans="2:10" ht="36" customHeight="1">
      <c r="B18" s="292"/>
      <c r="C18" s="292"/>
      <c r="D18" s="292"/>
      <c r="E18" s="292"/>
      <c r="F18" s="292"/>
      <c r="G18" s="292"/>
    </row>
  </sheetData>
  <mergeCells count="5">
    <mergeCell ref="C1:D1"/>
    <mergeCell ref="E1:F1"/>
    <mergeCell ref="G1:H1"/>
    <mergeCell ref="I1:J1"/>
    <mergeCell ref="K1:L1"/>
  </mergeCells>
  <pageMargins left="0.59" right="0.63" top="1.33" bottom="0.23" header="0.87" footer="0.2"/>
  <pageSetup paperSize="9" scale="55" orientation="landscape" r:id="rId1"/>
  <headerFooter>
    <oddHeader>&amp;C&amp;"-,Bold"&amp;22Area and Production of Plantation Crops 2021-22  (Second Advance Estimates)&amp;R&amp;"-,Bold"&amp;12Area in '000 Ha
Production in '000 MT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1"/>
  <sheetViews>
    <sheetView topLeftCell="AA1" workbookViewId="0">
      <pane xSplit="7" ySplit="13" topLeftCell="AH14" activePane="bottomRight" state="frozen"/>
      <selection activeCell="AA1" sqref="AA1"/>
      <selection pane="topRight" activeCell="AH1" sqref="AH1"/>
      <selection pane="bottomLeft" activeCell="AA14" sqref="AA14"/>
      <selection pane="bottomRight" activeCell="AH14" sqref="AH14"/>
    </sheetView>
  </sheetViews>
  <sheetFormatPr defaultColWidth="9" defaultRowHeight="30.75" customHeight="1"/>
  <cols>
    <col min="1" max="1" width="0" style="291" hidden="1" customWidth="1"/>
    <col min="2" max="2" width="9" style="291"/>
    <col min="3" max="3" width="35" style="325" customWidth="1"/>
    <col min="4" max="4" width="10.875" style="291" customWidth="1"/>
    <col min="5" max="5" width="12.125" style="291" customWidth="1"/>
    <col min="6" max="6" width="10.875" style="291" customWidth="1"/>
    <col min="7" max="7" width="10.75" style="291" customWidth="1"/>
    <col min="8" max="8" width="11.375" style="291" customWidth="1"/>
    <col min="9" max="9" width="9.875" style="291" customWidth="1"/>
    <col min="10" max="10" width="11.5" style="291" customWidth="1"/>
    <col min="11" max="12" width="10.875" style="291" customWidth="1"/>
    <col min="13" max="13" width="9.625" style="291" customWidth="1"/>
    <col min="14" max="14" width="11.75" style="291" customWidth="1"/>
    <col min="15" max="15" width="11.875" style="291" customWidth="1"/>
    <col min="16" max="17" width="8.875" style="291" customWidth="1"/>
    <col min="18" max="18" width="11" style="291" customWidth="1"/>
    <col min="19" max="21" width="8.875" style="291" customWidth="1"/>
    <col min="22" max="22" width="9.875" style="291" customWidth="1"/>
    <col min="23" max="29" width="8.875" style="291" customWidth="1"/>
    <col min="30" max="30" width="10.875" style="291" customWidth="1"/>
    <col min="31" max="32" width="8.875" style="291" customWidth="1"/>
    <col min="33" max="33" width="9.5" style="291" customWidth="1"/>
    <col min="34" max="36" width="8.875" style="291" customWidth="1"/>
    <col min="37" max="38" width="10.625" style="291" customWidth="1"/>
    <col min="39" max="40" width="12.625" style="291" customWidth="1"/>
    <col min="41" max="41" width="12.375" style="291" customWidth="1"/>
    <col min="42" max="42" width="12.875" style="291" customWidth="1"/>
    <col min="43" max="16384" width="9" style="291"/>
  </cols>
  <sheetData>
    <row r="1" spans="1:42" ht="30.75" customHeight="1">
      <c r="A1" s="414" t="s">
        <v>219</v>
      </c>
      <c r="B1" s="293" t="s">
        <v>219</v>
      </c>
      <c r="C1" s="294" t="s">
        <v>124</v>
      </c>
      <c r="D1" s="412" t="s">
        <v>204</v>
      </c>
      <c r="E1" s="412"/>
      <c r="F1" s="407"/>
      <c r="G1" s="406" t="s">
        <v>205</v>
      </c>
      <c r="H1" s="412"/>
      <c r="I1" s="407"/>
      <c r="J1" s="406" t="s">
        <v>206</v>
      </c>
      <c r="K1" s="412"/>
      <c r="L1" s="407"/>
      <c r="M1" s="406" t="s">
        <v>207</v>
      </c>
      <c r="N1" s="412"/>
      <c r="O1" s="407"/>
      <c r="P1" s="406" t="s">
        <v>208</v>
      </c>
      <c r="Q1" s="412"/>
      <c r="R1" s="407"/>
      <c r="S1" s="406" t="s">
        <v>209</v>
      </c>
      <c r="T1" s="412"/>
      <c r="U1" s="407"/>
      <c r="V1" s="406" t="s">
        <v>210</v>
      </c>
      <c r="W1" s="412"/>
      <c r="X1" s="407"/>
      <c r="Y1" s="406" t="s">
        <v>211</v>
      </c>
      <c r="Z1" s="412"/>
      <c r="AA1" s="407"/>
      <c r="AB1" s="406" t="s">
        <v>212</v>
      </c>
      <c r="AC1" s="412"/>
      <c r="AD1" s="407"/>
      <c r="AE1" s="406" t="s">
        <v>213</v>
      </c>
      <c r="AF1" s="412"/>
      <c r="AG1" s="407"/>
      <c r="AH1" s="406" t="s">
        <v>214</v>
      </c>
      <c r="AI1" s="412"/>
      <c r="AJ1" s="413"/>
      <c r="AK1" s="408" t="s">
        <v>215</v>
      </c>
      <c r="AL1" s="409"/>
      <c r="AM1" s="410"/>
      <c r="AN1" s="411" t="s">
        <v>89</v>
      </c>
      <c r="AO1" s="411"/>
      <c r="AP1" s="411"/>
    </row>
    <row r="2" spans="1:42" ht="28.5" customHeight="1">
      <c r="A2" s="415"/>
      <c r="B2" s="295"/>
      <c r="C2" s="296"/>
      <c r="D2" s="297" t="s">
        <v>90</v>
      </c>
      <c r="E2" s="406" t="s">
        <v>91</v>
      </c>
      <c r="F2" s="407"/>
      <c r="G2" s="298" t="s">
        <v>90</v>
      </c>
      <c r="H2" s="406" t="s">
        <v>91</v>
      </c>
      <c r="I2" s="407"/>
      <c r="J2" s="298" t="s">
        <v>90</v>
      </c>
      <c r="K2" s="406" t="s">
        <v>91</v>
      </c>
      <c r="L2" s="407"/>
      <c r="M2" s="298" t="s">
        <v>90</v>
      </c>
      <c r="N2" s="406" t="s">
        <v>91</v>
      </c>
      <c r="O2" s="407"/>
      <c r="P2" s="298" t="s">
        <v>90</v>
      </c>
      <c r="Q2" s="406" t="s">
        <v>91</v>
      </c>
      <c r="R2" s="407"/>
      <c r="S2" s="298" t="s">
        <v>90</v>
      </c>
      <c r="T2" s="406" t="s">
        <v>91</v>
      </c>
      <c r="U2" s="407"/>
      <c r="V2" s="298" t="s">
        <v>90</v>
      </c>
      <c r="W2" s="406" t="s">
        <v>91</v>
      </c>
      <c r="X2" s="407"/>
      <c r="Y2" s="298" t="s">
        <v>90</v>
      </c>
      <c r="Z2" s="406" t="s">
        <v>91</v>
      </c>
      <c r="AA2" s="407"/>
      <c r="AB2" s="298" t="s">
        <v>90</v>
      </c>
      <c r="AC2" s="406" t="s">
        <v>91</v>
      </c>
      <c r="AD2" s="407"/>
      <c r="AE2" s="298" t="s">
        <v>90</v>
      </c>
      <c r="AF2" s="406" t="s">
        <v>91</v>
      </c>
      <c r="AG2" s="407"/>
      <c r="AH2" s="298" t="s">
        <v>90</v>
      </c>
      <c r="AI2" s="406" t="s">
        <v>91</v>
      </c>
      <c r="AJ2" s="407"/>
      <c r="AK2" s="298" t="s">
        <v>90</v>
      </c>
      <c r="AL2" s="406" t="s">
        <v>91</v>
      </c>
      <c r="AM2" s="407"/>
      <c r="AN2" s="298" t="s">
        <v>90</v>
      </c>
      <c r="AO2" s="406" t="s">
        <v>91</v>
      </c>
      <c r="AP2" s="407"/>
    </row>
    <row r="3" spans="1:42" ht="27.75" customHeight="1">
      <c r="A3" s="416"/>
      <c r="B3" s="299"/>
      <c r="C3" s="296"/>
      <c r="D3" s="297"/>
      <c r="E3" s="298" t="s">
        <v>125</v>
      </c>
      <c r="F3" s="298" t="s">
        <v>126</v>
      </c>
      <c r="G3" s="298"/>
      <c r="H3" s="298" t="s">
        <v>125</v>
      </c>
      <c r="I3" s="298" t="s">
        <v>126</v>
      </c>
      <c r="J3" s="298"/>
      <c r="K3" s="298" t="s">
        <v>125</v>
      </c>
      <c r="L3" s="298" t="s">
        <v>126</v>
      </c>
      <c r="M3" s="298"/>
      <c r="N3" s="298" t="s">
        <v>125</v>
      </c>
      <c r="O3" s="298" t="s">
        <v>126</v>
      </c>
      <c r="P3" s="297"/>
      <c r="Q3" s="298" t="s">
        <v>125</v>
      </c>
      <c r="R3" s="298" t="s">
        <v>126</v>
      </c>
      <c r="S3" s="298"/>
      <c r="T3" s="298" t="s">
        <v>125</v>
      </c>
      <c r="U3" s="298" t="s">
        <v>126</v>
      </c>
      <c r="V3" s="298"/>
      <c r="W3" s="298" t="s">
        <v>125</v>
      </c>
      <c r="X3" s="298" t="s">
        <v>126</v>
      </c>
      <c r="Y3" s="298"/>
      <c r="Z3" s="298" t="s">
        <v>125</v>
      </c>
      <c r="AA3" s="298" t="s">
        <v>126</v>
      </c>
      <c r="AB3" s="298"/>
      <c r="AC3" s="298" t="s">
        <v>125</v>
      </c>
      <c r="AD3" s="298" t="s">
        <v>126</v>
      </c>
      <c r="AE3" s="298"/>
      <c r="AF3" s="298" t="s">
        <v>125</v>
      </c>
      <c r="AG3" s="298" t="s">
        <v>126</v>
      </c>
      <c r="AH3" s="298"/>
      <c r="AI3" s="298" t="s">
        <v>125</v>
      </c>
      <c r="AJ3" s="298" t="s">
        <v>126</v>
      </c>
      <c r="AK3" s="294"/>
      <c r="AL3" s="298" t="s">
        <v>125</v>
      </c>
      <c r="AM3" s="298" t="s">
        <v>126</v>
      </c>
      <c r="AN3" s="294"/>
      <c r="AO3" s="294" t="s">
        <v>125</v>
      </c>
      <c r="AP3" s="294" t="s">
        <v>126</v>
      </c>
    </row>
    <row r="4" spans="1:42" s="272" customFormat="1" ht="21" customHeight="1">
      <c r="A4" s="275">
        <v>1</v>
      </c>
      <c r="B4" s="275">
        <v>1</v>
      </c>
      <c r="C4" s="276" t="s">
        <v>222</v>
      </c>
      <c r="D4" s="300"/>
      <c r="E4" s="301"/>
      <c r="F4" s="301"/>
      <c r="G4" s="301"/>
      <c r="H4" s="301"/>
      <c r="I4" s="301"/>
      <c r="J4" s="302"/>
      <c r="K4" s="302"/>
      <c r="L4" s="301"/>
      <c r="M4" s="301"/>
      <c r="N4" s="303"/>
      <c r="O4" s="304"/>
      <c r="P4" s="300"/>
      <c r="Q4" s="305"/>
      <c r="R4" s="301"/>
      <c r="S4" s="301">
        <v>1E-3</v>
      </c>
      <c r="T4" s="301">
        <v>0</v>
      </c>
      <c r="U4" s="301"/>
      <c r="V4" s="301">
        <v>0.02</v>
      </c>
      <c r="W4" s="301">
        <v>0.04</v>
      </c>
      <c r="X4" s="301"/>
      <c r="Y4" s="301"/>
      <c r="Z4" s="301"/>
      <c r="AA4" s="301"/>
      <c r="AB4" s="301">
        <v>4.0000000000000001E-3</v>
      </c>
      <c r="AC4" s="301">
        <v>0.01</v>
      </c>
      <c r="AD4" s="301"/>
      <c r="AE4" s="301"/>
      <c r="AF4" s="301"/>
      <c r="AG4" s="301"/>
      <c r="AH4" s="301"/>
      <c r="AI4" s="301"/>
      <c r="AJ4" s="301"/>
      <c r="AK4" s="306">
        <v>0.06</v>
      </c>
      <c r="AL4" s="306">
        <v>0.1</v>
      </c>
      <c r="AM4" s="307"/>
      <c r="AN4" s="308">
        <f>D4+G4+J4+M4+P4+S4+V4+Y4+AB4+AE4+AH4+AK4</f>
        <v>8.4999999999999992E-2</v>
      </c>
      <c r="AO4" s="308">
        <f t="shared" ref="AO4:AP4" si="0">E4+H4+K4+N4+Q4+T4+W4+Z4+AC4+AF4+AI4+AL4</f>
        <v>0.15000000000000002</v>
      </c>
      <c r="AP4" s="308">
        <f t="shared" si="0"/>
        <v>0</v>
      </c>
    </row>
    <row r="5" spans="1:42" ht="21" customHeight="1">
      <c r="A5" s="275">
        <v>2</v>
      </c>
      <c r="B5" s="275">
        <v>2</v>
      </c>
      <c r="C5" s="276" t="s">
        <v>223</v>
      </c>
      <c r="D5" s="309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08">
        <f t="shared" ref="AN5:AN10" si="1">D5+G5+J5+M5+P5+S5+V5+Y5+AB5+AE5+AH5+AK5</f>
        <v>0</v>
      </c>
      <c r="AO5" s="308">
        <f t="shared" ref="AO5:AO10" si="2">E5+H5+K5+N5+Q5+T5+W5+Z5+AC5+AF5+AI5+AL5</f>
        <v>0</v>
      </c>
      <c r="AP5" s="308">
        <f t="shared" ref="AP5:AP10" si="3">F5+I5+L5+O5+R5+U5+X5+AA5+AD5+AG5+AJ5+AM5</f>
        <v>0</v>
      </c>
    </row>
    <row r="6" spans="1:42" ht="21" customHeight="1">
      <c r="A6" s="275">
        <v>3</v>
      </c>
      <c r="B6" s="275">
        <v>3</v>
      </c>
      <c r="C6" s="276" t="s">
        <v>224</v>
      </c>
      <c r="D6" s="300"/>
      <c r="E6" s="301"/>
      <c r="F6" s="301"/>
      <c r="G6" s="301"/>
      <c r="H6" s="301"/>
      <c r="I6" s="301"/>
      <c r="J6" s="301"/>
      <c r="K6" s="301"/>
      <c r="L6" s="301"/>
      <c r="M6" s="301"/>
      <c r="N6" s="303"/>
      <c r="O6" s="304"/>
      <c r="P6" s="300"/>
      <c r="Q6" s="305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>
        <v>4.0000000000000001E-3</v>
      </c>
      <c r="AL6" s="301">
        <v>0.03</v>
      </c>
      <c r="AM6" s="311"/>
      <c r="AN6" s="308">
        <f t="shared" si="1"/>
        <v>4.0000000000000001E-3</v>
      </c>
      <c r="AO6" s="308">
        <f t="shared" si="2"/>
        <v>0.03</v>
      </c>
      <c r="AP6" s="308">
        <f t="shared" si="3"/>
        <v>0</v>
      </c>
    </row>
    <row r="7" spans="1:42" ht="21" customHeight="1">
      <c r="A7" s="275">
        <v>4</v>
      </c>
      <c r="B7" s="275">
        <v>4</v>
      </c>
      <c r="C7" s="279" t="s">
        <v>225</v>
      </c>
      <c r="D7" s="309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08">
        <f t="shared" si="1"/>
        <v>0</v>
      </c>
      <c r="AO7" s="308">
        <f t="shared" si="2"/>
        <v>0</v>
      </c>
      <c r="AP7" s="308">
        <f t="shared" si="3"/>
        <v>0</v>
      </c>
    </row>
    <row r="8" spans="1:42" ht="21" customHeight="1">
      <c r="A8" s="275">
        <v>5</v>
      </c>
      <c r="B8" s="275">
        <v>5</v>
      </c>
      <c r="C8" s="279" t="s">
        <v>226</v>
      </c>
      <c r="D8" s="300"/>
      <c r="E8" s="301"/>
      <c r="F8" s="301"/>
      <c r="G8" s="301"/>
      <c r="H8" s="301"/>
      <c r="I8" s="301"/>
      <c r="J8" s="301"/>
      <c r="K8" s="301"/>
      <c r="L8" s="301"/>
      <c r="M8" s="301"/>
      <c r="N8" s="303"/>
      <c r="O8" s="304"/>
      <c r="P8" s="311"/>
      <c r="Q8" s="310"/>
      <c r="R8" s="304"/>
      <c r="S8" s="300"/>
      <c r="T8" s="301"/>
      <c r="U8" s="301"/>
      <c r="V8" s="301">
        <v>2E-3</v>
      </c>
      <c r="W8" s="301"/>
      <c r="X8" s="301">
        <v>1.6E-2</v>
      </c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11"/>
      <c r="AN8" s="308">
        <f t="shared" si="1"/>
        <v>2E-3</v>
      </c>
      <c r="AO8" s="308">
        <f t="shared" si="2"/>
        <v>0</v>
      </c>
      <c r="AP8" s="308">
        <f t="shared" si="3"/>
        <v>1.6E-2</v>
      </c>
    </row>
    <row r="9" spans="1:42" ht="21" customHeight="1">
      <c r="A9" s="275">
        <v>6</v>
      </c>
      <c r="B9" s="275">
        <v>6</v>
      </c>
      <c r="C9" s="276" t="s">
        <v>241</v>
      </c>
      <c r="D9" s="312"/>
      <c r="E9" s="313"/>
      <c r="F9" s="313"/>
      <c r="G9" s="313"/>
      <c r="H9" s="313"/>
      <c r="I9" s="313"/>
      <c r="J9" s="313"/>
      <c r="K9" s="313"/>
      <c r="L9" s="313"/>
      <c r="M9" s="313"/>
      <c r="N9" s="314"/>
      <c r="O9" s="304"/>
      <c r="P9" s="315"/>
      <c r="Q9" s="316"/>
      <c r="R9" s="317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8"/>
      <c r="AN9" s="308">
        <f t="shared" si="1"/>
        <v>0</v>
      </c>
      <c r="AO9" s="308">
        <f t="shared" si="2"/>
        <v>0</v>
      </c>
      <c r="AP9" s="308">
        <f t="shared" si="3"/>
        <v>0</v>
      </c>
    </row>
    <row r="10" spans="1:42" ht="21" customHeight="1">
      <c r="A10" s="275">
        <v>7</v>
      </c>
      <c r="B10" s="275">
        <v>7</v>
      </c>
      <c r="C10" s="280" t="s">
        <v>227</v>
      </c>
      <c r="D10" s="300"/>
      <c r="E10" s="301"/>
      <c r="F10" s="301"/>
      <c r="G10" s="301"/>
      <c r="H10" s="301"/>
      <c r="I10" s="301"/>
      <c r="J10" s="301"/>
      <c r="K10" s="301"/>
      <c r="L10" s="301"/>
      <c r="M10" s="301"/>
      <c r="N10" s="303"/>
      <c r="O10" s="304"/>
      <c r="P10" s="300"/>
      <c r="Q10" s="305"/>
      <c r="R10" s="301"/>
      <c r="S10" s="301">
        <v>2.5000000000000001E-2</v>
      </c>
      <c r="T10" s="301">
        <v>0.19800000000000001</v>
      </c>
      <c r="U10" s="301"/>
      <c r="V10" s="301">
        <v>0.02</v>
      </c>
      <c r="W10" s="301">
        <v>0.17</v>
      </c>
      <c r="X10" s="301"/>
      <c r="Y10" s="301"/>
      <c r="Z10" s="301"/>
      <c r="AA10" s="301"/>
      <c r="AB10" s="301">
        <v>1E-3</v>
      </c>
      <c r="AC10" s="301">
        <v>3.0000000000000001E-3</v>
      </c>
      <c r="AD10" s="301"/>
      <c r="AE10" s="301">
        <v>6.0000000000000001E-3</v>
      </c>
      <c r="AF10" s="301">
        <v>1.4999999999999999E-2</v>
      </c>
      <c r="AG10" s="301"/>
      <c r="AH10" s="301"/>
      <c r="AI10" s="301"/>
      <c r="AJ10" s="301"/>
      <c r="AK10" s="301">
        <f>0.0035+0.03112</f>
        <v>3.4619999999999998E-2</v>
      </c>
      <c r="AL10" s="301">
        <f>0.0161+0.1849</f>
        <v>0.20100000000000001</v>
      </c>
      <c r="AM10" s="311"/>
      <c r="AN10" s="308">
        <f t="shared" si="1"/>
        <v>8.6620000000000003E-2</v>
      </c>
      <c r="AO10" s="308">
        <f t="shared" si="2"/>
        <v>0.58699999999999997</v>
      </c>
      <c r="AP10" s="308">
        <f t="shared" si="3"/>
        <v>0</v>
      </c>
    </row>
    <row r="11" spans="1:42" ht="21" customHeight="1">
      <c r="A11" s="319"/>
      <c r="B11" s="320"/>
      <c r="C11" s="281" t="s">
        <v>89</v>
      </c>
      <c r="D11" s="321">
        <f>D4+D5+D6+D7+D8+D9+D10</f>
        <v>0</v>
      </c>
      <c r="E11" s="321">
        <f t="shared" ref="E11:AP11" si="4">E4+E5+E6+E7+E8+E9+E10</f>
        <v>0</v>
      </c>
      <c r="F11" s="321">
        <f t="shared" si="4"/>
        <v>0</v>
      </c>
      <c r="G11" s="321">
        <f t="shared" si="4"/>
        <v>0</v>
      </c>
      <c r="H11" s="321">
        <f t="shared" si="4"/>
        <v>0</v>
      </c>
      <c r="I11" s="321">
        <f t="shared" si="4"/>
        <v>0</v>
      </c>
      <c r="J11" s="321">
        <f t="shared" si="4"/>
        <v>0</v>
      </c>
      <c r="K11" s="321">
        <f t="shared" si="4"/>
        <v>0</v>
      </c>
      <c r="L11" s="321">
        <f t="shared" si="4"/>
        <v>0</v>
      </c>
      <c r="M11" s="321">
        <f t="shared" si="4"/>
        <v>0</v>
      </c>
      <c r="N11" s="321">
        <f t="shared" si="4"/>
        <v>0</v>
      </c>
      <c r="O11" s="321">
        <f t="shared" si="4"/>
        <v>0</v>
      </c>
      <c r="P11" s="321">
        <f t="shared" si="4"/>
        <v>0</v>
      </c>
      <c r="Q11" s="321">
        <f t="shared" si="4"/>
        <v>0</v>
      </c>
      <c r="R11" s="321">
        <f t="shared" si="4"/>
        <v>0</v>
      </c>
      <c r="S11" s="321">
        <f t="shared" si="4"/>
        <v>2.6000000000000002E-2</v>
      </c>
      <c r="T11" s="321">
        <f t="shared" si="4"/>
        <v>0.19800000000000001</v>
      </c>
      <c r="U11" s="321">
        <f t="shared" si="4"/>
        <v>0</v>
      </c>
      <c r="V11" s="321">
        <f t="shared" si="4"/>
        <v>4.1999999999999996E-2</v>
      </c>
      <c r="W11" s="321">
        <f t="shared" si="4"/>
        <v>0.21000000000000002</v>
      </c>
      <c r="X11" s="321">
        <f t="shared" si="4"/>
        <v>1.6E-2</v>
      </c>
      <c r="Y11" s="321">
        <f t="shared" si="4"/>
        <v>0</v>
      </c>
      <c r="Z11" s="321">
        <f t="shared" si="4"/>
        <v>0</v>
      </c>
      <c r="AA11" s="321">
        <f t="shared" si="4"/>
        <v>0</v>
      </c>
      <c r="AB11" s="321">
        <f t="shared" si="4"/>
        <v>5.0000000000000001E-3</v>
      </c>
      <c r="AC11" s="321">
        <f t="shared" si="4"/>
        <v>1.3000000000000001E-2</v>
      </c>
      <c r="AD11" s="321">
        <f t="shared" si="4"/>
        <v>0</v>
      </c>
      <c r="AE11" s="321">
        <f t="shared" si="4"/>
        <v>6.0000000000000001E-3</v>
      </c>
      <c r="AF11" s="321">
        <f t="shared" si="4"/>
        <v>1.4999999999999999E-2</v>
      </c>
      <c r="AG11" s="321">
        <f t="shared" si="4"/>
        <v>0</v>
      </c>
      <c r="AH11" s="321">
        <f t="shared" si="4"/>
        <v>0</v>
      </c>
      <c r="AI11" s="321">
        <f t="shared" si="4"/>
        <v>0</v>
      </c>
      <c r="AJ11" s="321">
        <f t="shared" si="4"/>
        <v>0</v>
      </c>
      <c r="AK11" s="321">
        <f t="shared" si="4"/>
        <v>9.8619999999999999E-2</v>
      </c>
      <c r="AL11" s="321">
        <f t="shared" si="4"/>
        <v>0.33100000000000002</v>
      </c>
      <c r="AM11" s="321">
        <f t="shared" si="4"/>
        <v>0</v>
      </c>
      <c r="AN11" s="321">
        <f t="shared" si="4"/>
        <v>0.17762</v>
      </c>
      <c r="AO11" s="321">
        <f t="shared" si="4"/>
        <v>0.76700000000000002</v>
      </c>
      <c r="AP11" s="321">
        <f t="shared" si="4"/>
        <v>1.6E-2</v>
      </c>
    </row>
    <row r="12" spans="1:42" s="322" customFormat="1" ht="30.75" customHeight="1">
      <c r="A12" s="291"/>
      <c r="C12" s="323"/>
      <c r="AN12" s="324"/>
    </row>
    <row r="14" spans="1:42" ht="30.75" customHeight="1">
      <c r="AN14" s="326"/>
      <c r="AO14" s="326"/>
      <c r="AP14" s="326"/>
    </row>
    <row r="18" spans="29:41" ht="30.75" customHeight="1">
      <c r="AC18" s="327"/>
    </row>
    <row r="21" spans="29:41" ht="30.75" customHeight="1">
      <c r="AO21" s="291" t="s">
        <v>234</v>
      </c>
    </row>
  </sheetData>
  <mergeCells count="27">
    <mergeCell ref="S1:U1"/>
    <mergeCell ref="V1:X1"/>
    <mergeCell ref="Y1:AA1"/>
    <mergeCell ref="AB1:AD1"/>
    <mergeCell ref="A1:A3"/>
    <mergeCell ref="D1:F1"/>
    <mergeCell ref="G1:I1"/>
    <mergeCell ref="J1:L1"/>
    <mergeCell ref="M1:O1"/>
    <mergeCell ref="P1:R1"/>
    <mergeCell ref="E2:F2"/>
    <mergeCell ref="H2:I2"/>
    <mergeCell ref="K2:L2"/>
    <mergeCell ref="N2:O2"/>
    <mergeCell ref="Q2:R2"/>
    <mergeCell ref="T2:U2"/>
    <mergeCell ref="AC2:AD2"/>
    <mergeCell ref="AF2:AG2"/>
    <mergeCell ref="AI2:AJ2"/>
    <mergeCell ref="W2:X2"/>
    <mergeCell ref="Z2:AA2"/>
    <mergeCell ref="AO2:AP2"/>
    <mergeCell ref="AK1:AM1"/>
    <mergeCell ref="AN1:AP1"/>
    <mergeCell ref="AE1:AG1"/>
    <mergeCell ref="AH1:AJ1"/>
    <mergeCell ref="AL2:AM2"/>
  </mergeCells>
  <pageMargins left="0.51" right="0.32" top="1.47" bottom="0.3" header="1.01" footer="0.2"/>
  <pageSetup scale="65" orientation="landscape" r:id="rId1"/>
  <headerFooter>
    <oddHeader>&amp;C&amp;"-,Bold"&amp;22Area and Production of Flower Crops 2021-22 (Second Advance Estimates)&amp;R&amp;"Times New Roman,Bold"&amp;12Area in '000 Ha
 Prod in '000 Tonnes</oddHeader>
  </headerFooter>
  <colBreaks count="2" manualBreakCount="2">
    <brk id="15" max="32" man="1"/>
    <brk id="30" max="3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5"/>
  <sheetViews>
    <sheetView tabSelected="1" zoomScaleNormal="100" zoomScaleSheetLayoutView="100" workbookViewId="0">
      <selection activeCell="F12" sqref="F12"/>
    </sheetView>
  </sheetViews>
  <sheetFormatPr defaultColWidth="9" defaultRowHeight="18.75"/>
  <cols>
    <col min="1" max="1" width="7.75" style="337" customWidth="1"/>
    <col min="2" max="2" width="34" style="337" customWidth="1"/>
    <col min="3" max="40" width="12.375" style="337" customWidth="1"/>
    <col min="41" max="41" width="12.375" style="343" customWidth="1"/>
    <col min="42" max="42" width="12.375" style="337" customWidth="1"/>
    <col min="43" max="16384" width="9" style="337"/>
  </cols>
  <sheetData>
    <row r="1" spans="1:45" s="329" customFormat="1" ht="38.25" customHeight="1">
      <c r="A1" s="328" t="s">
        <v>219</v>
      </c>
      <c r="B1" s="328" t="s">
        <v>84</v>
      </c>
      <c r="C1" s="419" t="s">
        <v>252</v>
      </c>
      <c r="D1" s="419"/>
      <c r="E1" s="419" t="s">
        <v>218</v>
      </c>
      <c r="F1" s="419"/>
      <c r="G1" s="419" t="s">
        <v>253</v>
      </c>
      <c r="H1" s="419"/>
      <c r="I1" s="419" t="s">
        <v>197</v>
      </c>
      <c r="J1" s="419"/>
      <c r="K1" s="419" t="s">
        <v>198</v>
      </c>
      <c r="L1" s="419"/>
      <c r="M1" s="419" t="s">
        <v>217</v>
      </c>
      <c r="N1" s="419"/>
      <c r="O1" s="419" t="s">
        <v>188</v>
      </c>
      <c r="P1" s="419"/>
      <c r="Q1" s="419" t="s">
        <v>189</v>
      </c>
      <c r="R1" s="419"/>
      <c r="S1" s="419" t="s">
        <v>190</v>
      </c>
      <c r="T1" s="419"/>
      <c r="U1" s="419" t="s">
        <v>191</v>
      </c>
      <c r="V1" s="419"/>
      <c r="W1" s="419" t="s">
        <v>192</v>
      </c>
      <c r="X1" s="419"/>
      <c r="Y1" s="418" t="s">
        <v>239</v>
      </c>
      <c r="Z1" s="418"/>
      <c r="AA1" s="418" t="s">
        <v>193</v>
      </c>
      <c r="AB1" s="418"/>
      <c r="AC1" s="419" t="s">
        <v>194</v>
      </c>
      <c r="AD1" s="419"/>
      <c r="AE1" s="419" t="s">
        <v>195</v>
      </c>
      <c r="AF1" s="419"/>
      <c r="AG1" s="419" t="s">
        <v>196</v>
      </c>
      <c r="AH1" s="419"/>
      <c r="AI1" s="420" t="s">
        <v>245</v>
      </c>
      <c r="AJ1" s="421"/>
      <c r="AK1" s="420" t="s">
        <v>244</v>
      </c>
      <c r="AL1" s="421"/>
      <c r="AM1" s="420" t="s">
        <v>238</v>
      </c>
      <c r="AN1" s="421"/>
      <c r="AO1" s="417" t="s">
        <v>89</v>
      </c>
      <c r="AP1" s="417"/>
      <c r="AS1" s="330"/>
    </row>
    <row r="2" spans="1:45" s="329" customFormat="1" ht="21" customHeight="1">
      <c r="A2" s="328"/>
      <c r="B2" s="328"/>
      <c r="C2" s="328" t="s">
        <v>90</v>
      </c>
      <c r="D2" s="328" t="s">
        <v>91</v>
      </c>
      <c r="E2" s="328" t="s">
        <v>90</v>
      </c>
      <c r="F2" s="328" t="s">
        <v>91</v>
      </c>
      <c r="G2" s="328" t="s">
        <v>90</v>
      </c>
      <c r="H2" s="328" t="s">
        <v>91</v>
      </c>
      <c r="I2" s="328" t="s">
        <v>90</v>
      </c>
      <c r="J2" s="328" t="s">
        <v>91</v>
      </c>
      <c r="K2" s="328" t="s">
        <v>90</v>
      </c>
      <c r="L2" s="328" t="s">
        <v>91</v>
      </c>
      <c r="M2" s="328" t="s">
        <v>90</v>
      </c>
      <c r="N2" s="328" t="s">
        <v>91</v>
      </c>
      <c r="O2" s="328" t="s">
        <v>90</v>
      </c>
      <c r="P2" s="328" t="s">
        <v>91</v>
      </c>
      <c r="Q2" s="328" t="s">
        <v>90</v>
      </c>
      <c r="R2" s="328" t="s">
        <v>91</v>
      </c>
      <c r="S2" s="328" t="s">
        <v>90</v>
      </c>
      <c r="T2" s="328" t="s">
        <v>91</v>
      </c>
      <c r="U2" s="328" t="s">
        <v>90</v>
      </c>
      <c r="V2" s="328" t="s">
        <v>91</v>
      </c>
      <c r="W2" s="328" t="s">
        <v>90</v>
      </c>
      <c r="X2" s="328" t="s">
        <v>91</v>
      </c>
      <c r="Y2" s="328" t="s">
        <v>90</v>
      </c>
      <c r="Z2" s="328" t="s">
        <v>91</v>
      </c>
      <c r="AA2" s="328" t="s">
        <v>90</v>
      </c>
      <c r="AB2" s="328" t="s">
        <v>91</v>
      </c>
      <c r="AC2" s="328" t="s">
        <v>90</v>
      </c>
      <c r="AD2" s="328" t="s">
        <v>91</v>
      </c>
      <c r="AE2" s="328" t="s">
        <v>90</v>
      </c>
      <c r="AF2" s="328" t="s">
        <v>91</v>
      </c>
      <c r="AG2" s="328" t="s">
        <v>90</v>
      </c>
      <c r="AH2" s="328" t="s">
        <v>91</v>
      </c>
      <c r="AI2" s="331" t="s">
        <v>90</v>
      </c>
      <c r="AJ2" s="331" t="s">
        <v>91</v>
      </c>
      <c r="AK2" s="331" t="s">
        <v>90</v>
      </c>
      <c r="AL2" s="331" t="s">
        <v>91</v>
      </c>
      <c r="AM2" s="331" t="s">
        <v>90</v>
      </c>
      <c r="AN2" s="331" t="s">
        <v>91</v>
      </c>
      <c r="AO2" s="331" t="s">
        <v>90</v>
      </c>
      <c r="AP2" s="331" t="s">
        <v>91</v>
      </c>
    </row>
    <row r="3" spans="1:45" ht="24" customHeight="1">
      <c r="A3" s="332">
        <v>1</v>
      </c>
      <c r="B3" s="276" t="s">
        <v>222</v>
      </c>
      <c r="C3" s="333">
        <v>0.08</v>
      </c>
      <c r="D3" s="333">
        <v>2.5999999999999999E-2</v>
      </c>
      <c r="E3" s="334">
        <v>0.13800000000000001</v>
      </c>
      <c r="F3" s="334">
        <v>1.1000000000000001</v>
      </c>
      <c r="G3" s="334">
        <v>0.105</v>
      </c>
      <c r="H3" s="334">
        <v>0.59699999999999998</v>
      </c>
      <c r="I3" s="334">
        <v>8.7999999999999995E-2</v>
      </c>
      <c r="J3" s="334">
        <v>0.251</v>
      </c>
      <c r="K3" s="334"/>
      <c r="L3" s="334"/>
      <c r="M3" s="333"/>
      <c r="N3" s="333"/>
      <c r="O3" s="334"/>
      <c r="P3" s="334"/>
      <c r="Q3" s="333"/>
      <c r="R3" s="333"/>
      <c r="S3" s="333"/>
      <c r="T3" s="333"/>
      <c r="U3" s="333"/>
      <c r="V3" s="333"/>
      <c r="W3" s="334"/>
      <c r="X3" s="334"/>
      <c r="Y3" s="333"/>
      <c r="Z3" s="333"/>
      <c r="AA3" s="333">
        <v>6.0999999999999999E-2</v>
      </c>
      <c r="AB3" s="333">
        <v>4.1000000000000002E-2</v>
      </c>
      <c r="AC3" s="333">
        <v>2.7E-2</v>
      </c>
      <c r="AD3" s="333">
        <v>2.9000000000000001E-2</v>
      </c>
      <c r="AE3" s="333">
        <v>3.5999999999999997E-2</v>
      </c>
      <c r="AF3" s="333">
        <v>1.4E-2</v>
      </c>
      <c r="AG3" s="333"/>
      <c r="AH3" s="333"/>
      <c r="AI3" s="333"/>
      <c r="AJ3" s="333"/>
      <c r="AK3" s="333"/>
      <c r="AL3" s="333"/>
      <c r="AM3" s="333"/>
      <c r="AN3" s="333"/>
      <c r="AO3" s="335">
        <f>C3+E3+G3+I3+K3+M3+O3+Q3+S3+U3+W3+Y3+AA3+AC3+AE3+AG3+AI3+AK3+AM3</f>
        <v>0.53500000000000003</v>
      </c>
      <c r="AP3" s="335">
        <f>D3+F3+H3+J3+L3+N3+P3+R3+T3+V3+X3+Z3+AB3+AD3+AF3+AH3+AJ3+AL3+AN3</f>
        <v>2.0579999999999998</v>
      </c>
      <c r="AQ3" s="336"/>
      <c r="AR3" s="336"/>
    </row>
    <row r="4" spans="1:45" ht="24" customHeight="1">
      <c r="A4" s="332">
        <v>2</v>
      </c>
      <c r="B4" s="276" t="s">
        <v>223</v>
      </c>
      <c r="C4" s="333"/>
      <c r="D4" s="333"/>
      <c r="E4" s="334"/>
      <c r="F4" s="334"/>
      <c r="G4" s="334"/>
      <c r="H4" s="334"/>
      <c r="I4" s="334"/>
      <c r="J4" s="334"/>
      <c r="K4" s="334"/>
      <c r="L4" s="334"/>
      <c r="M4" s="333"/>
      <c r="N4" s="333"/>
      <c r="O4" s="334"/>
      <c r="P4" s="334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5">
        <f t="shared" ref="AO4:AO9" si="0">C4+E4+G4+I4+K4+M4+O4+Q4+S4+U4+W4+Y4+AA4+AC4+AE4+AG4+AI4+AK4+AM4</f>
        <v>0</v>
      </c>
      <c r="AP4" s="335">
        <f t="shared" ref="AP4:AP9" si="1">D4+F4+H4+J4+L4+N4+P4+R4+T4+V4+X4+Z4+AB4+AD4+AF4+AH4+AJ4+AL4+AN4</f>
        <v>0</v>
      </c>
      <c r="AQ4" s="336"/>
      <c r="AR4" s="336"/>
    </row>
    <row r="5" spans="1:45" ht="24" customHeight="1">
      <c r="A5" s="332">
        <v>3</v>
      </c>
      <c r="B5" s="276" t="s">
        <v>224</v>
      </c>
      <c r="C5" s="333"/>
      <c r="D5" s="333"/>
      <c r="E5" s="334"/>
      <c r="F5" s="334"/>
      <c r="G5" s="334"/>
      <c r="H5" s="334"/>
      <c r="I5" s="334"/>
      <c r="J5" s="334"/>
      <c r="K5" s="334"/>
      <c r="L5" s="334"/>
      <c r="M5" s="333"/>
      <c r="N5" s="333"/>
      <c r="O5" s="334"/>
      <c r="P5" s="334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5">
        <f t="shared" si="0"/>
        <v>0</v>
      </c>
      <c r="AP5" s="335">
        <f t="shared" si="1"/>
        <v>0</v>
      </c>
      <c r="AQ5" s="336"/>
      <c r="AR5" s="336"/>
    </row>
    <row r="6" spans="1:45" ht="24" customHeight="1">
      <c r="A6" s="332">
        <v>4</v>
      </c>
      <c r="B6" s="279" t="s">
        <v>225</v>
      </c>
      <c r="C6" s="333"/>
      <c r="D6" s="333"/>
      <c r="E6" s="334"/>
      <c r="F6" s="334"/>
      <c r="G6" s="334"/>
      <c r="H6" s="334"/>
      <c r="I6" s="334"/>
      <c r="J6" s="334"/>
      <c r="K6" s="334"/>
      <c r="L6" s="334"/>
      <c r="M6" s="333"/>
      <c r="N6" s="333"/>
      <c r="O6" s="334"/>
      <c r="P6" s="334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5">
        <f t="shared" si="0"/>
        <v>0</v>
      </c>
      <c r="AP6" s="335">
        <f t="shared" si="1"/>
        <v>0</v>
      </c>
      <c r="AQ6" s="336"/>
      <c r="AR6" s="336"/>
    </row>
    <row r="7" spans="1:45" s="340" customFormat="1" ht="24" customHeight="1">
      <c r="A7" s="338">
        <v>5</v>
      </c>
      <c r="B7" s="339" t="s">
        <v>226</v>
      </c>
      <c r="C7" s="333">
        <v>0.85599999999999998</v>
      </c>
      <c r="D7" s="333">
        <v>0.38300000000000001</v>
      </c>
      <c r="E7" s="334"/>
      <c r="F7" s="334"/>
      <c r="G7" s="334"/>
      <c r="H7" s="334"/>
      <c r="I7" s="334"/>
      <c r="J7" s="334"/>
      <c r="K7" s="334"/>
      <c r="L7" s="334"/>
      <c r="M7" s="333"/>
      <c r="N7" s="333"/>
      <c r="O7" s="334"/>
      <c r="P7" s="334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>
        <v>0.24099999999999999</v>
      </c>
      <c r="AD7" s="333">
        <v>1.7000000000000001E-2</v>
      </c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5">
        <f t="shared" si="0"/>
        <v>1.097</v>
      </c>
      <c r="AP7" s="335">
        <f t="shared" si="1"/>
        <v>0.4</v>
      </c>
    </row>
    <row r="8" spans="1:45" ht="24" customHeight="1">
      <c r="A8" s="332">
        <v>6</v>
      </c>
      <c r="B8" s="276" t="s">
        <v>241</v>
      </c>
      <c r="C8" s="333"/>
      <c r="D8" s="333"/>
      <c r="E8" s="334"/>
      <c r="F8" s="334"/>
      <c r="G8" s="334"/>
      <c r="H8" s="334"/>
      <c r="I8" s="334"/>
      <c r="J8" s="334"/>
      <c r="K8" s="334"/>
      <c r="L8" s="334"/>
      <c r="M8" s="333"/>
      <c r="N8" s="333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5">
        <f t="shared" si="0"/>
        <v>0</v>
      </c>
      <c r="AP8" s="335">
        <f t="shared" si="1"/>
        <v>0</v>
      </c>
      <c r="AQ8" s="336"/>
      <c r="AR8" s="336"/>
    </row>
    <row r="9" spans="1:45" ht="24" customHeight="1">
      <c r="A9" s="332">
        <v>7</v>
      </c>
      <c r="B9" s="280" t="s">
        <v>227</v>
      </c>
      <c r="C9" s="333">
        <v>1.0999999999999999E-2</v>
      </c>
      <c r="D9" s="333">
        <v>1.6E-2</v>
      </c>
      <c r="E9" s="334"/>
      <c r="F9" s="334"/>
      <c r="G9" s="334">
        <v>6.0000000000000001E-3</v>
      </c>
      <c r="H9" s="334">
        <v>5.3999999999999999E-2</v>
      </c>
      <c r="I9" s="334">
        <v>8.0000000000000002E-3</v>
      </c>
      <c r="J9" s="334">
        <v>2.4E-2</v>
      </c>
      <c r="K9" s="334"/>
      <c r="L9" s="334"/>
      <c r="M9" s="333"/>
      <c r="N9" s="333"/>
      <c r="O9" s="334"/>
      <c r="P9" s="334"/>
      <c r="Q9" s="334"/>
      <c r="R9" s="334"/>
      <c r="S9" s="334"/>
      <c r="T9" s="334"/>
      <c r="U9" s="334"/>
      <c r="V9" s="334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>
        <v>0.06</v>
      </c>
      <c r="AH9" s="333">
        <v>0.24</v>
      </c>
      <c r="AI9" s="333"/>
      <c r="AJ9" s="333"/>
      <c r="AK9" s="333"/>
      <c r="AL9" s="333"/>
      <c r="AM9" s="333"/>
      <c r="AN9" s="333"/>
      <c r="AO9" s="335">
        <f t="shared" si="0"/>
        <v>8.4999999999999992E-2</v>
      </c>
      <c r="AP9" s="335">
        <f t="shared" si="1"/>
        <v>0.33399999999999996</v>
      </c>
      <c r="AQ9" s="336"/>
      <c r="AR9" s="336"/>
    </row>
    <row r="10" spans="1:45" ht="24" customHeight="1">
      <c r="A10" s="332"/>
      <c r="B10" s="281" t="s">
        <v>89</v>
      </c>
      <c r="C10" s="341">
        <f>C3+C4+C5+C6+C7+C8+C9</f>
        <v>0.94699999999999995</v>
      </c>
      <c r="D10" s="341">
        <f t="shared" ref="D10:AP10" si="2">D3+D4+D5+D6+D7+D8+D9</f>
        <v>0.42500000000000004</v>
      </c>
      <c r="E10" s="341">
        <f t="shared" si="2"/>
        <v>0.13800000000000001</v>
      </c>
      <c r="F10" s="341">
        <f t="shared" si="2"/>
        <v>1.1000000000000001</v>
      </c>
      <c r="G10" s="341">
        <f t="shared" si="2"/>
        <v>0.111</v>
      </c>
      <c r="H10" s="341">
        <f t="shared" si="2"/>
        <v>0.65100000000000002</v>
      </c>
      <c r="I10" s="341">
        <f t="shared" si="2"/>
        <v>9.6000000000000002E-2</v>
      </c>
      <c r="J10" s="341">
        <f t="shared" si="2"/>
        <v>0.27500000000000002</v>
      </c>
      <c r="K10" s="341">
        <f t="shared" si="2"/>
        <v>0</v>
      </c>
      <c r="L10" s="341">
        <f t="shared" si="2"/>
        <v>0</v>
      </c>
      <c r="M10" s="341">
        <f t="shared" si="2"/>
        <v>0</v>
      </c>
      <c r="N10" s="341">
        <f t="shared" si="2"/>
        <v>0</v>
      </c>
      <c r="O10" s="341">
        <f t="shared" si="2"/>
        <v>0</v>
      </c>
      <c r="P10" s="341">
        <f t="shared" si="2"/>
        <v>0</v>
      </c>
      <c r="Q10" s="341">
        <f t="shared" si="2"/>
        <v>0</v>
      </c>
      <c r="R10" s="341">
        <f t="shared" si="2"/>
        <v>0</v>
      </c>
      <c r="S10" s="341">
        <f t="shared" si="2"/>
        <v>0</v>
      </c>
      <c r="T10" s="341">
        <f t="shared" si="2"/>
        <v>0</v>
      </c>
      <c r="U10" s="341">
        <f t="shared" si="2"/>
        <v>0</v>
      </c>
      <c r="V10" s="341">
        <f t="shared" si="2"/>
        <v>0</v>
      </c>
      <c r="W10" s="341">
        <f t="shared" si="2"/>
        <v>0</v>
      </c>
      <c r="X10" s="341">
        <f t="shared" si="2"/>
        <v>0</v>
      </c>
      <c r="Y10" s="341">
        <f t="shared" si="2"/>
        <v>0</v>
      </c>
      <c r="Z10" s="341">
        <f t="shared" si="2"/>
        <v>0</v>
      </c>
      <c r="AA10" s="341">
        <f t="shared" si="2"/>
        <v>6.0999999999999999E-2</v>
      </c>
      <c r="AB10" s="341">
        <f t="shared" si="2"/>
        <v>4.1000000000000002E-2</v>
      </c>
      <c r="AC10" s="341">
        <f t="shared" si="2"/>
        <v>0.26800000000000002</v>
      </c>
      <c r="AD10" s="341">
        <f t="shared" si="2"/>
        <v>4.5999999999999999E-2</v>
      </c>
      <c r="AE10" s="341">
        <f t="shared" si="2"/>
        <v>3.5999999999999997E-2</v>
      </c>
      <c r="AF10" s="341">
        <f t="shared" si="2"/>
        <v>1.4E-2</v>
      </c>
      <c r="AG10" s="341">
        <f t="shared" si="2"/>
        <v>0.06</v>
      </c>
      <c r="AH10" s="341">
        <f t="shared" si="2"/>
        <v>0.24</v>
      </c>
      <c r="AI10" s="341">
        <f t="shared" si="2"/>
        <v>0</v>
      </c>
      <c r="AJ10" s="341">
        <f t="shared" si="2"/>
        <v>0</v>
      </c>
      <c r="AK10" s="341">
        <f t="shared" si="2"/>
        <v>0</v>
      </c>
      <c r="AL10" s="341">
        <f t="shared" si="2"/>
        <v>0</v>
      </c>
      <c r="AM10" s="341">
        <f t="shared" si="2"/>
        <v>0</v>
      </c>
      <c r="AN10" s="341">
        <f t="shared" si="2"/>
        <v>0</v>
      </c>
      <c r="AO10" s="341">
        <f t="shared" si="2"/>
        <v>1.7170000000000001</v>
      </c>
      <c r="AP10" s="341">
        <f t="shared" si="2"/>
        <v>2.7919999999999998</v>
      </c>
      <c r="AQ10" s="336"/>
      <c r="AR10" s="336"/>
    </row>
    <row r="12" spans="1:45">
      <c r="O12" s="342"/>
      <c r="P12" s="342"/>
      <c r="Q12" s="342"/>
      <c r="R12" s="342"/>
      <c r="S12" s="342"/>
      <c r="T12" s="342"/>
    </row>
    <row r="15" spans="1:45">
      <c r="O15" s="344"/>
      <c r="P15" s="344"/>
      <c r="Q15" s="344"/>
      <c r="R15" s="344"/>
      <c r="S15" s="344"/>
      <c r="T15" s="344"/>
    </row>
  </sheetData>
  <mergeCells count="20"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O1:AP1"/>
    <mergeCell ref="AA1:AB1"/>
    <mergeCell ref="AC1:AD1"/>
    <mergeCell ref="AE1:AF1"/>
    <mergeCell ref="AG1:AH1"/>
    <mergeCell ref="AI1:AJ1"/>
    <mergeCell ref="AM1:AN1"/>
    <mergeCell ref="AK1:AL1"/>
  </mergeCells>
  <pageMargins left="0.53" right="0.36" top="1.06" bottom="0.56999999999999995" header="0.65" footer="0.261811024"/>
  <pageSetup paperSize="9" scale="54" orientation="landscape" r:id="rId1"/>
  <headerFooter>
    <oddHeader>&amp;C&amp;"Times New Roman,Bold"&amp;18Area and Production of Spice Crops 2021-22 (Second Advance Estimates)&amp;R&amp;"Times New Roman,Bold"&amp;12Area in '000  Ha
Production in '000 MT</oddHeader>
  </headerFooter>
  <colBreaks count="2" manualBreakCount="2">
    <brk id="14" max="34" man="1"/>
    <brk id="26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R39"/>
  <sheetViews>
    <sheetView topLeftCell="A16" zoomScale="85" zoomScaleNormal="85" workbookViewId="0">
      <selection activeCell="A3" sqref="A3:XFD3"/>
    </sheetView>
  </sheetViews>
  <sheetFormatPr defaultColWidth="9" defaultRowHeight="16.5"/>
  <cols>
    <col min="1" max="1" width="7.375" style="59" bestFit="1" customWidth="1"/>
    <col min="2" max="2" width="27.375" style="59" bestFit="1" customWidth="1"/>
    <col min="3" max="3" width="8.625" style="59" bestFit="1" customWidth="1"/>
    <col min="4" max="4" width="11" style="59" bestFit="1" customWidth="1"/>
    <col min="5" max="5" width="9.875" style="59" bestFit="1" customWidth="1"/>
    <col min="6" max="6" width="11" style="59" bestFit="1" customWidth="1"/>
    <col min="7" max="7" width="8.625" style="59" bestFit="1" customWidth="1"/>
    <col min="8" max="8" width="9.875" style="59" bestFit="1" customWidth="1"/>
    <col min="9" max="11" width="7.5" style="59" bestFit="1" customWidth="1"/>
    <col min="12" max="12" width="8.625" style="59" bestFit="1" customWidth="1"/>
    <col min="13" max="13" width="7.5" style="59" bestFit="1" customWidth="1"/>
    <col min="14" max="14" width="8.625" style="59" bestFit="1" customWidth="1"/>
    <col min="15" max="15" width="9.875" style="59" bestFit="1" customWidth="1"/>
    <col min="16" max="16" width="9.125" style="59" bestFit="1" customWidth="1"/>
    <col min="17" max="17" width="9.875" style="59" bestFit="1" customWidth="1"/>
    <col min="18" max="18" width="11" style="59" bestFit="1" customWidth="1"/>
    <col min="19" max="19" width="9" style="59"/>
    <col min="20" max="20" width="10.5" style="59" customWidth="1"/>
    <col min="21" max="16384" width="9" style="59"/>
  </cols>
  <sheetData>
    <row r="1" spans="1:18" ht="55.5" customHeight="1">
      <c r="A1" s="352" t="s">
        <v>219</v>
      </c>
      <c r="B1" s="356" t="s">
        <v>84</v>
      </c>
      <c r="C1" s="357" t="s">
        <v>199</v>
      </c>
      <c r="D1" s="357"/>
      <c r="E1" s="358" t="s">
        <v>200</v>
      </c>
      <c r="F1" s="358"/>
      <c r="G1" s="354" t="s">
        <v>201</v>
      </c>
      <c r="H1" s="354"/>
      <c r="I1" s="359" t="s">
        <v>202</v>
      </c>
      <c r="J1" s="359"/>
      <c r="K1" s="354" t="s">
        <v>78</v>
      </c>
      <c r="L1" s="354"/>
      <c r="M1" s="354"/>
      <c r="N1" s="354" t="s">
        <v>79</v>
      </c>
      <c r="O1" s="354"/>
      <c r="P1" s="91" t="s">
        <v>80</v>
      </c>
      <c r="Q1" s="354" t="s">
        <v>216</v>
      </c>
      <c r="R1" s="354"/>
    </row>
    <row r="2" spans="1:18" ht="36" customHeight="1">
      <c r="A2" s="353"/>
      <c r="B2" s="356"/>
      <c r="C2" s="90" t="s">
        <v>90</v>
      </c>
      <c r="D2" s="90" t="s">
        <v>91</v>
      </c>
      <c r="E2" s="90" t="s">
        <v>90</v>
      </c>
      <c r="F2" s="90" t="s">
        <v>91</v>
      </c>
      <c r="G2" s="90" t="s">
        <v>90</v>
      </c>
      <c r="H2" s="90" t="s">
        <v>91</v>
      </c>
      <c r="I2" s="90" t="s">
        <v>90</v>
      </c>
      <c r="J2" s="90" t="s">
        <v>91</v>
      </c>
      <c r="K2" s="60" t="s">
        <v>90</v>
      </c>
      <c r="L2" s="355" t="s">
        <v>91</v>
      </c>
      <c r="M2" s="355"/>
      <c r="N2" s="90" t="s">
        <v>90</v>
      </c>
      <c r="O2" s="90" t="s">
        <v>91</v>
      </c>
      <c r="P2" s="60" t="s">
        <v>91</v>
      </c>
      <c r="Q2" s="90" t="s">
        <v>90</v>
      </c>
      <c r="R2" s="90" t="s">
        <v>91</v>
      </c>
    </row>
    <row r="3" spans="1:18">
      <c r="A3" s="61"/>
      <c r="B3" s="61"/>
      <c r="C3" s="89"/>
      <c r="D3" s="89"/>
      <c r="E3" s="62"/>
      <c r="F3" s="62"/>
      <c r="G3" s="62"/>
      <c r="H3" s="62"/>
      <c r="I3" s="62"/>
      <c r="J3" s="62"/>
      <c r="K3" s="61"/>
      <c r="L3" s="88" t="s">
        <v>81</v>
      </c>
      <c r="M3" s="88" t="s">
        <v>82</v>
      </c>
      <c r="N3" s="61"/>
      <c r="O3" s="61"/>
      <c r="P3" s="61"/>
      <c r="Q3" s="61"/>
      <c r="R3" s="61"/>
    </row>
    <row r="4" spans="1:18" ht="22.15" customHeight="1">
      <c r="A4" s="63">
        <v>1</v>
      </c>
      <c r="B4" s="64" t="s">
        <v>92</v>
      </c>
      <c r="C4" s="65">
        <v>801.22499999999991</v>
      </c>
      <c r="D4" s="65">
        <v>19599.539000000001</v>
      </c>
      <c r="E4" s="66">
        <v>249.33099999999996</v>
      </c>
      <c r="F4" s="66">
        <v>6861.1909999999989</v>
      </c>
      <c r="G4" s="67">
        <v>349.173</v>
      </c>
      <c r="H4" s="67">
        <v>1259.6189444909307</v>
      </c>
      <c r="I4" s="84">
        <v>4.2</v>
      </c>
      <c r="J4" s="84">
        <v>14.351000000000001</v>
      </c>
      <c r="K4" s="67">
        <v>16.463999999999999</v>
      </c>
      <c r="L4" s="67">
        <v>296.11899999999997</v>
      </c>
      <c r="M4" s="67">
        <v>14.930769230769231</v>
      </c>
      <c r="N4" s="67">
        <v>201.79000000000002</v>
      </c>
      <c r="O4" s="67">
        <v>796.33864333333327</v>
      </c>
      <c r="P4" s="67">
        <v>1.92</v>
      </c>
      <c r="Q4" s="68">
        <v>1622.1829999999998</v>
      </c>
      <c r="R4" s="68">
        <v>28844.008357055031</v>
      </c>
    </row>
    <row r="5" spans="1:18" ht="22.15" customHeight="1">
      <c r="A5" s="63">
        <v>2</v>
      </c>
      <c r="B5" s="85" t="s">
        <v>93</v>
      </c>
      <c r="C5" s="65">
        <v>48.137999999999991</v>
      </c>
      <c r="D5" s="65">
        <v>125.84299999999999</v>
      </c>
      <c r="E5" s="66">
        <v>2.62</v>
      </c>
      <c r="F5" s="66">
        <v>17.419</v>
      </c>
      <c r="G5" s="67">
        <v>2.67</v>
      </c>
      <c r="H5" s="67">
        <v>11.762435275659904</v>
      </c>
      <c r="I5" s="84">
        <v>0.24199999999999999</v>
      </c>
      <c r="J5" s="84">
        <v>0.16200000000000001</v>
      </c>
      <c r="K5" s="67">
        <v>2E-3</v>
      </c>
      <c r="L5" s="67">
        <v>3.0000000000000001E-3</v>
      </c>
      <c r="M5" s="67">
        <v>0</v>
      </c>
      <c r="N5" s="67">
        <v>12.390016666666668</v>
      </c>
      <c r="O5" s="67">
        <v>37.692019166666668</v>
      </c>
      <c r="P5" s="67">
        <v>0.15</v>
      </c>
      <c r="Q5" s="68">
        <v>66.062016666666665</v>
      </c>
      <c r="R5" s="68">
        <v>193.03145444232658</v>
      </c>
    </row>
    <row r="6" spans="1:18" ht="22.15" customHeight="1">
      <c r="A6" s="63">
        <v>3</v>
      </c>
      <c r="B6" s="64" t="s">
        <v>94</v>
      </c>
      <c r="C6" s="65">
        <v>159.97999999999999</v>
      </c>
      <c r="D6" s="65">
        <v>2504.1909999999998</v>
      </c>
      <c r="E6" s="66">
        <v>302.67600000000004</v>
      </c>
      <c r="F6" s="66">
        <v>3669.4650000000001</v>
      </c>
      <c r="G6" s="67">
        <v>89.24</v>
      </c>
      <c r="H6" s="67">
        <v>159.72425317222206</v>
      </c>
      <c r="I6" s="84">
        <v>4.62</v>
      </c>
      <c r="J6" s="84">
        <v>0.17899999999999999</v>
      </c>
      <c r="K6" s="67">
        <v>5.3069999999999995</v>
      </c>
      <c r="L6" s="67">
        <v>35.582999999999998</v>
      </c>
      <c r="M6" s="67">
        <v>57.798644688644686</v>
      </c>
      <c r="N6" s="67">
        <v>100.48513333333332</v>
      </c>
      <c r="O6" s="67">
        <v>310.51178000000004</v>
      </c>
      <c r="P6" s="67">
        <v>1.4</v>
      </c>
      <c r="Q6" s="68">
        <v>662.30813333333344</v>
      </c>
      <c r="R6" s="68">
        <v>6738.8526778608657</v>
      </c>
    </row>
    <row r="7" spans="1:18" ht="22.15" customHeight="1">
      <c r="A7" s="63">
        <v>4</v>
      </c>
      <c r="B7" s="64" t="s">
        <v>95</v>
      </c>
      <c r="C7" s="65">
        <v>363.77399999999994</v>
      </c>
      <c r="D7" s="65">
        <v>4986.7430000000004</v>
      </c>
      <c r="E7" s="66">
        <v>904.55599999999993</v>
      </c>
      <c r="F7" s="66">
        <v>17854.945</v>
      </c>
      <c r="G7" s="67">
        <v>12.154999999999999</v>
      </c>
      <c r="H7" s="67">
        <v>54.061269989815862</v>
      </c>
      <c r="I7" s="67">
        <v>4.851</v>
      </c>
      <c r="J7" s="67">
        <v>22.486999999999998</v>
      </c>
      <c r="K7" s="67">
        <v>1.2089999999999999</v>
      </c>
      <c r="L7" s="67">
        <v>10.953000000000001</v>
      </c>
      <c r="M7" s="67">
        <v>0.19123931623931623</v>
      </c>
      <c r="N7" s="67">
        <v>9.2146000000000008</v>
      </c>
      <c r="O7" s="67">
        <v>14.64119</v>
      </c>
      <c r="P7" s="67">
        <v>16.8</v>
      </c>
      <c r="Q7" s="68">
        <v>1295.7596000000001</v>
      </c>
      <c r="R7" s="68">
        <v>22960.821699306056</v>
      </c>
    </row>
    <row r="8" spans="1:18" ht="22.15" customHeight="1">
      <c r="A8" s="63">
        <v>5</v>
      </c>
      <c r="B8" s="64" t="s">
        <v>130</v>
      </c>
      <c r="C8" s="65">
        <v>224.48600000000005</v>
      </c>
      <c r="D8" s="65">
        <v>2425.3655300000005</v>
      </c>
      <c r="E8" s="66">
        <v>470.55700000000002</v>
      </c>
      <c r="F8" s="66">
        <v>6749.7870000000003</v>
      </c>
      <c r="G8" s="67">
        <v>34.012</v>
      </c>
      <c r="H8" s="67">
        <v>30.795270457735818</v>
      </c>
      <c r="I8" s="84">
        <v>5.1499999999999995</v>
      </c>
      <c r="J8" s="84">
        <v>32.548999999999999</v>
      </c>
      <c r="K8" s="67">
        <v>11.192</v>
      </c>
      <c r="L8" s="67">
        <v>52.683999999999997</v>
      </c>
      <c r="M8" s="67">
        <v>178.05491452991456</v>
      </c>
      <c r="N8" s="67">
        <v>10.382</v>
      </c>
      <c r="O8" s="67">
        <v>15.7799</v>
      </c>
      <c r="P8" s="67">
        <v>1.01</v>
      </c>
      <c r="Q8" s="68">
        <v>755.779</v>
      </c>
      <c r="R8" s="68">
        <v>9486.0256149876514</v>
      </c>
    </row>
    <row r="9" spans="1:18" ht="22.15" customHeight="1">
      <c r="A9" s="63">
        <v>6</v>
      </c>
      <c r="B9" s="64" t="s">
        <v>97</v>
      </c>
      <c r="C9" s="65">
        <v>426.108</v>
      </c>
      <c r="D9" s="65">
        <v>8243.6689999999999</v>
      </c>
      <c r="E9" s="66">
        <v>791.19499999999994</v>
      </c>
      <c r="F9" s="66">
        <v>15695.23</v>
      </c>
      <c r="G9" s="67">
        <v>34.662999999999997</v>
      </c>
      <c r="H9" s="67">
        <v>153.99416330406538</v>
      </c>
      <c r="I9" s="67">
        <v>0</v>
      </c>
      <c r="J9" s="67">
        <v>0</v>
      </c>
      <c r="K9" s="67">
        <v>19.984999999999999</v>
      </c>
      <c r="L9" s="67">
        <v>189.33700000000002</v>
      </c>
      <c r="M9" s="67">
        <v>0</v>
      </c>
      <c r="N9" s="67">
        <v>665.09780000000001</v>
      </c>
      <c r="O9" s="67">
        <v>992.13577720000001</v>
      </c>
      <c r="P9" s="67">
        <v>0.8</v>
      </c>
      <c r="Q9" s="68">
        <v>1937.0487999999998</v>
      </c>
      <c r="R9" s="68">
        <v>25275.165940504063</v>
      </c>
    </row>
    <row r="10" spans="1:18" ht="22.15" customHeight="1">
      <c r="A10" s="86">
        <v>7</v>
      </c>
      <c r="B10" s="79" t="s">
        <v>98</v>
      </c>
      <c r="C10" s="65">
        <v>73.204999999999984</v>
      </c>
      <c r="D10" s="65">
        <v>1262.9700000000003</v>
      </c>
      <c r="E10" s="66">
        <v>327.49799999999999</v>
      </c>
      <c r="F10" s="66">
        <v>5460.2559999999994</v>
      </c>
      <c r="G10" s="67">
        <v>0</v>
      </c>
      <c r="H10" s="67">
        <v>0</v>
      </c>
      <c r="I10" s="67">
        <v>0.30599999999999999</v>
      </c>
      <c r="J10" s="67">
        <v>0.35499999999999998</v>
      </c>
      <c r="K10" s="67">
        <v>2.4489999999999998</v>
      </c>
      <c r="L10" s="67">
        <v>17.212000000000003</v>
      </c>
      <c r="M10" s="67">
        <v>0.81333681318681306</v>
      </c>
      <c r="N10" s="67">
        <v>11.445799999999998</v>
      </c>
      <c r="O10" s="67">
        <v>65.067399999999992</v>
      </c>
      <c r="P10" s="67">
        <v>5.0999999999999996</v>
      </c>
      <c r="Q10" s="68">
        <v>414.90379999999999</v>
      </c>
      <c r="R10" s="68">
        <v>6811.7737368131866</v>
      </c>
    </row>
    <row r="11" spans="1:18" ht="22.15" customHeight="1">
      <c r="A11" s="63">
        <v>8</v>
      </c>
      <c r="B11" s="64" t="s">
        <v>99</v>
      </c>
      <c r="C11" s="65">
        <v>234.77899999999997</v>
      </c>
      <c r="D11" s="65">
        <v>796.78600000000017</v>
      </c>
      <c r="E11" s="66">
        <v>91.987499999999997</v>
      </c>
      <c r="F11" s="66">
        <v>1878.4353999999998</v>
      </c>
      <c r="G11" s="67">
        <v>0</v>
      </c>
      <c r="H11" s="67">
        <v>0</v>
      </c>
      <c r="I11" s="67">
        <v>1.1211000000000002</v>
      </c>
      <c r="J11" s="67">
        <v>0.90900000000000003</v>
      </c>
      <c r="K11" s="67">
        <v>0.37370999999999999</v>
      </c>
      <c r="L11" s="67">
        <v>1.2988499999999998</v>
      </c>
      <c r="M11" s="67">
        <v>10.452794520757024</v>
      </c>
      <c r="N11" s="67">
        <v>10.488999999999999</v>
      </c>
      <c r="O11" s="67">
        <v>29.450000000000003</v>
      </c>
      <c r="P11" s="67">
        <v>6</v>
      </c>
      <c r="Q11" s="68">
        <v>338.75030999999996</v>
      </c>
      <c r="R11" s="68">
        <v>2723.3320445207569</v>
      </c>
    </row>
    <row r="12" spans="1:18" ht="22.15" customHeight="1">
      <c r="A12" s="63">
        <v>9</v>
      </c>
      <c r="B12" s="64" t="s">
        <v>100</v>
      </c>
      <c r="C12" s="65">
        <v>335.02400000000006</v>
      </c>
      <c r="D12" s="65">
        <v>2237.8680000000004</v>
      </c>
      <c r="E12" s="66">
        <v>60.123000000000005</v>
      </c>
      <c r="F12" s="66">
        <v>1337.9795257999999</v>
      </c>
      <c r="G12" s="67">
        <v>0</v>
      </c>
      <c r="H12" s="67">
        <v>0</v>
      </c>
      <c r="I12" s="67">
        <v>3.8279000000000001</v>
      </c>
      <c r="J12" s="67">
        <v>1.01E-2</v>
      </c>
      <c r="K12" s="67">
        <v>0.10258100000000001</v>
      </c>
      <c r="L12" s="67">
        <v>0.21058100000000002</v>
      </c>
      <c r="M12" s="67">
        <v>1.0234079945054946</v>
      </c>
      <c r="N12" s="67">
        <v>3.3930000000000002</v>
      </c>
      <c r="O12" s="67">
        <v>1.115</v>
      </c>
      <c r="P12" s="67">
        <v>2.4500000000000002</v>
      </c>
      <c r="Q12" s="68">
        <v>402.47048100000001</v>
      </c>
      <c r="R12" s="68">
        <v>3580.656614794505</v>
      </c>
    </row>
    <row r="13" spans="1:18" ht="22.15" customHeight="1">
      <c r="A13" s="63">
        <v>10</v>
      </c>
      <c r="B13" s="64" t="s">
        <v>101</v>
      </c>
      <c r="C13" s="65">
        <v>107.974</v>
      </c>
      <c r="D13" s="65">
        <v>1313.3770000000004</v>
      </c>
      <c r="E13" s="66">
        <v>338.68399999999997</v>
      </c>
      <c r="F13" s="66">
        <v>3834.134</v>
      </c>
      <c r="G13" s="67">
        <v>15.58</v>
      </c>
      <c r="H13" s="67">
        <v>6.3529999999999998</v>
      </c>
      <c r="I13" s="67">
        <v>0</v>
      </c>
      <c r="J13" s="67">
        <v>0</v>
      </c>
      <c r="K13" s="67">
        <v>2.08</v>
      </c>
      <c r="L13" s="67">
        <v>3.58</v>
      </c>
      <c r="M13" s="67">
        <v>3.5611111111111109</v>
      </c>
      <c r="N13" s="67">
        <v>0</v>
      </c>
      <c r="O13" s="67">
        <v>0</v>
      </c>
      <c r="P13" s="67">
        <v>1.75</v>
      </c>
      <c r="Q13" s="68">
        <v>464.31799999999993</v>
      </c>
      <c r="R13" s="68">
        <v>5162.7551111111115</v>
      </c>
    </row>
    <row r="14" spans="1:18" ht="22.15" customHeight="1">
      <c r="A14" s="63">
        <v>11</v>
      </c>
      <c r="B14" s="64" t="s">
        <v>129</v>
      </c>
      <c r="C14" s="65">
        <v>376.2589999999999</v>
      </c>
      <c r="D14" s="65">
        <v>7186.7219999999988</v>
      </c>
      <c r="E14" s="66">
        <v>459.99400000000003</v>
      </c>
      <c r="F14" s="66">
        <v>7153.4719999999988</v>
      </c>
      <c r="G14" s="67">
        <v>1249.452</v>
      </c>
      <c r="H14" s="67">
        <v>5237.20753929289</v>
      </c>
      <c r="I14" s="67">
        <v>1.6500000000000001</v>
      </c>
      <c r="J14" s="67">
        <v>8.3870000000000005</v>
      </c>
      <c r="K14" s="67">
        <v>38.908000000000001</v>
      </c>
      <c r="L14" s="67">
        <v>339.48099999999999</v>
      </c>
      <c r="M14" s="67">
        <v>26.866144688644688</v>
      </c>
      <c r="N14" s="67">
        <v>368.35480000000013</v>
      </c>
      <c r="O14" s="67">
        <v>732.41079000000002</v>
      </c>
      <c r="P14" s="67">
        <v>2.2999999999999998</v>
      </c>
      <c r="Q14" s="68">
        <v>2494.6178</v>
      </c>
      <c r="R14" s="68">
        <v>20686.846473981532</v>
      </c>
    </row>
    <row r="15" spans="1:18" ht="22.15" customHeight="1">
      <c r="A15" s="63">
        <v>12</v>
      </c>
      <c r="B15" s="64" t="s">
        <v>103</v>
      </c>
      <c r="C15" s="65">
        <v>313.94500000000005</v>
      </c>
      <c r="D15" s="65">
        <v>1943.175</v>
      </c>
      <c r="E15" s="66">
        <v>119.1632</v>
      </c>
      <c r="F15" s="66">
        <v>3623.29</v>
      </c>
      <c r="G15" s="67">
        <v>988.63200000000006</v>
      </c>
      <c r="H15" s="67">
        <v>3487.3842336572075</v>
      </c>
      <c r="I15" s="67">
        <v>0.01</v>
      </c>
      <c r="J15" s="67">
        <v>1.92E-4</v>
      </c>
      <c r="K15" s="67">
        <v>0.28100000000000003</v>
      </c>
      <c r="L15" s="67">
        <v>0.23799999999999999</v>
      </c>
      <c r="M15" s="67">
        <v>0</v>
      </c>
      <c r="N15" s="67">
        <v>160.47490800000003</v>
      </c>
      <c r="O15" s="67">
        <v>159.989488392</v>
      </c>
      <c r="P15" s="67">
        <v>2.1</v>
      </c>
      <c r="Q15" s="68">
        <v>1582.506108</v>
      </c>
      <c r="R15" s="68">
        <v>9216.176914049207</v>
      </c>
    </row>
    <row r="16" spans="1:18" ht="22.15" customHeight="1">
      <c r="A16" s="63">
        <v>13</v>
      </c>
      <c r="B16" s="64" t="s">
        <v>104</v>
      </c>
      <c r="C16" s="65">
        <v>426.47</v>
      </c>
      <c r="D16" s="65">
        <v>8839.8599999999988</v>
      </c>
      <c r="E16" s="66">
        <v>1119.6500000000001</v>
      </c>
      <c r="F16" s="66">
        <v>21627.519999999997</v>
      </c>
      <c r="G16" s="67">
        <v>0</v>
      </c>
      <c r="H16" s="67">
        <v>0</v>
      </c>
      <c r="I16" s="67">
        <v>46.6</v>
      </c>
      <c r="J16" s="67">
        <v>120.73</v>
      </c>
      <c r="K16" s="67">
        <v>37.129999999999995</v>
      </c>
      <c r="L16" s="67">
        <v>422.15000000000003</v>
      </c>
      <c r="M16" s="67">
        <v>0</v>
      </c>
      <c r="N16" s="67">
        <v>724.0200000000001</v>
      </c>
      <c r="O16" s="67">
        <v>3473.1079999999997</v>
      </c>
      <c r="P16" s="67">
        <v>2.67</v>
      </c>
      <c r="Q16" s="68">
        <v>2353.87</v>
      </c>
      <c r="R16" s="68">
        <v>34486.037999999993</v>
      </c>
    </row>
    <row r="17" spans="1:18" ht="22.15" customHeight="1">
      <c r="A17" s="63">
        <v>14</v>
      </c>
      <c r="B17" s="64" t="s">
        <v>105</v>
      </c>
      <c r="C17" s="65">
        <v>839.726</v>
      </c>
      <c r="D17" s="65">
        <v>12629.553999999995</v>
      </c>
      <c r="E17" s="66">
        <v>1192.2120000000002</v>
      </c>
      <c r="F17" s="66">
        <v>17152.179</v>
      </c>
      <c r="G17" s="67">
        <v>224.90899999999999</v>
      </c>
      <c r="H17" s="67">
        <v>318.98124999999999</v>
      </c>
      <c r="I17" s="67">
        <v>0.91200000000000003</v>
      </c>
      <c r="J17" s="67">
        <v>1.7430000000000001</v>
      </c>
      <c r="K17" s="67">
        <v>11.917999999999999</v>
      </c>
      <c r="L17" s="67">
        <v>67.933999999999997</v>
      </c>
      <c r="M17" s="67">
        <v>0.33731666666666665</v>
      </c>
      <c r="N17" s="67">
        <v>128.47499999999997</v>
      </c>
      <c r="O17" s="67">
        <v>581.03200000000004</v>
      </c>
      <c r="P17" s="67">
        <v>1.85</v>
      </c>
      <c r="Q17" s="68">
        <v>2398.152</v>
      </c>
      <c r="R17" s="68">
        <v>30753.610566666659</v>
      </c>
    </row>
    <row r="18" spans="1:18" ht="22.15" customHeight="1">
      <c r="A18" s="63">
        <v>15</v>
      </c>
      <c r="B18" s="69" t="s">
        <v>106</v>
      </c>
      <c r="C18" s="65">
        <v>41.618000000000009</v>
      </c>
      <c r="D18" s="65">
        <v>463.85999999999996</v>
      </c>
      <c r="E18" s="66">
        <v>32.901820000000001</v>
      </c>
      <c r="F18" s="66">
        <v>339.81383000000005</v>
      </c>
      <c r="G18" s="67">
        <v>0.9</v>
      </c>
      <c r="H18" s="67">
        <v>0.32</v>
      </c>
      <c r="I18" s="67">
        <v>4.2999999999999997E-2</v>
      </c>
      <c r="J18" s="67">
        <v>0.115</v>
      </c>
      <c r="K18" s="67">
        <v>6.9330000000000003E-2</v>
      </c>
      <c r="L18" s="67">
        <v>5.9800000000000001E-3</v>
      </c>
      <c r="M18" s="67">
        <v>0.17350135836385838</v>
      </c>
      <c r="N18" s="67">
        <v>9.0508400000000009</v>
      </c>
      <c r="O18" s="67">
        <v>58.895573999999996</v>
      </c>
      <c r="P18" s="67">
        <v>0.4</v>
      </c>
      <c r="Q18" s="68">
        <v>84.582990000000024</v>
      </c>
      <c r="R18" s="68">
        <v>863.58388535836389</v>
      </c>
    </row>
    <row r="19" spans="1:18" ht="22.15" customHeight="1">
      <c r="A19" s="63">
        <v>16</v>
      </c>
      <c r="B19" s="64" t="s">
        <v>107</v>
      </c>
      <c r="C19" s="65">
        <v>37.375999999999998</v>
      </c>
      <c r="D19" s="65">
        <v>378.1640000000001</v>
      </c>
      <c r="E19" s="66">
        <v>49.608000000000004</v>
      </c>
      <c r="F19" s="66">
        <v>520.16399999999999</v>
      </c>
      <c r="G19" s="67">
        <v>26.997999999999998</v>
      </c>
      <c r="H19" s="67">
        <v>33.975999999999999</v>
      </c>
      <c r="I19" s="67">
        <v>0</v>
      </c>
      <c r="J19" s="67">
        <v>0</v>
      </c>
      <c r="K19" s="67">
        <v>12.47</v>
      </c>
      <c r="L19" s="67">
        <v>0</v>
      </c>
      <c r="M19" s="67">
        <v>0.35527472527472531</v>
      </c>
      <c r="N19" s="67">
        <v>14.241</v>
      </c>
      <c r="O19" s="67">
        <v>71.673000000000002</v>
      </c>
      <c r="P19" s="67">
        <v>0.27</v>
      </c>
      <c r="Q19" s="68">
        <v>140.69299999999998</v>
      </c>
      <c r="R19" s="68">
        <v>1004.6022747252748</v>
      </c>
    </row>
    <row r="20" spans="1:18" ht="22.15" customHeight="1">
      <c r="A20" s="63">
        <v>17</v>
      </c>
      <c r="B20" s="64" t="s">
        <v>108</v>
      </c>
      <c r="C20" s="65">
        <v>66.216000000000008</v>
      </c>
      <c r="D20" s="65">
        <v>345.35499999999996</v>
      </c>
      <c r="E20" s="66">
        <v>40.666000000000004</v>
      </c>
      <c r="F20" s="66">
        <v>224.60900000000009</v>
      </c>
      <c r="G20" s="67">
        <v>14.146000000000001</v>
      </c>
      <c r="H20" s="67">
        <v>14.202</v>
      </c>
      <c r="I20" s="67">
        <v>0.76500000000000001</v>
      </c>
      <c r="J20" s="67">
        <v>0.77700000000000002</v>
      </c>
      <c r="K20" s="67">
        <v>8.2199999999999995E-2</v>
      </c>
      <c r="L20" s="67">
        <v>0</v>
      </c>
      <c r="M20" s="67">
        <v>0.80315128205128206</v>
      </c>
      <c r="N20" s="67">
        <v>27.753151500000001</v>
      </c>
      <c r="O20" s="67">
        <v>101.378862</v>
      </c>
      <c r="P20" s="67">
        <v>0.3</v>
      </c>
      <c r="Q20" s="68">
        <v>149.62835150000001</v>
      </c>
      <c r="R20" s="68">
        <v>687.4250132820514</v>
      </c>
    </row>
    <row r="21" spans="1:18" ht="22.15" customHeight="1">
      <c r="A21" s="63">
        <v>18</v>
      </c>
      <c r="B21" s="85" t="s">
        <v>109</v>
      </c>
      <c r="C21" s="65">
        <v>33.89500000000001</v>
      </c>
      <c r="D21" s="65">
        <v>313.39099999999996</v>
      </c>
      <c r="E21" s="66">
        <v>41.113999999999997</v>
      </c>
      <c r="F21" s="66">
        <v>454.26399999999995</v>
      </c>
      <c r="G21" s="67">
        <v>3.347</v>
      </c>
      <c r="H21" s="67">
        <v>8.6011469543915666</v>
      </c>
      <c r="I21" s="67">
        <v>0.216</v>
      </c>
      <c r="J21" s="67">
        <v>1.706</v>
      </c>
      <c r="K21" s="67">
        <v>4.5999999999999999E-2</v>
      </c>
      <c r="L21" s="67">
        <v>0</v>
      </c>
      <c r="M21" s="67">
        <v>0.22</v>
      </c>
      <c r="N21" s="67">
        <v>10.652799999999999</v>
      </c>
      <c r="O21" s="67">
        <v>43.260550000000002</v>
      </c>
      <c r="P21" s="67">
        <v>0.72</v>
      </c>
      <c r="Q21" s="68">
        <v>89.270800000000008</v>
      </c>
      <c r="R21" s="68">
        <v>822.16269695439155</v>
      </c>
    </row>
    <row r="22" spans="1:18" ht="22.15" customHeight="1">
      <c r="A22" s="63">
        <v>19</v>
      </c>
      <c r="B22" s="64" t="s">
        <v>110</v>
      </c>
      <c r="C22" s="65">
        <v>366.64699999999993</v>
      </c>
      <c r="D22" s="65">
        <v>2782.3100000000004</v>
      </c>
      <c r="E22" s="66">
        <v>678.85000000000014</v>
      </c>
      <c r="F22" s="66">
        <v>9571.3199999999979</v>
      </c>
      <c r="G22" s="67">
        <v>276.19</v>
      </c>
      <c r="H22" s="67">
        <v>382.47193367922705</v>
      </c>
      <c r="I22" s="67">
        <v>1.9189999999999998</v>
      </c>
      <c r="J22" s="67">
        <v>0.60599999999999998</v>
      </c>
      <c r="K22" s="67">
        <v>5.61</v>
      </c>
      <c r="L22" s="67">
        <v>31.62</v>
      </c>
      <c r="M22" s="67">
        <v>33.681400824175824</v>
      </c>
      <c r="N22" s="67">
        <v>154.059</v>
      </c>
      <c r="O22" s="67">
        <v>422.66482999999994</v>
      </c>
      <c r="P22" s="67">
        <v>1.7</v>
      </c>
      <c r="Q22" s="68">
        <v>1483.2750000000001</v>
      </c>
      <c r="R22" s="68">
        <v>13226.374164503402</v>
      </c>
    </row>
    <row r="23" spans="1:18" ht="22.15" customHeight="1">
      <c r="A23" s="63">
        <v>20</v>
      </c>
      <c r="B23" s="64" t="s">
        <v>111</v>
      </c>
      <c r="C23" s="65">
        <v>104.57499999999997</v>
      </c>
      <c r="D23" s="65">
        <v>2240.5839999999998</v>
      </c>
      <c r="E23" s="66">
        <v>290.74599999999998</v>
      </c>
      <c r="F23" s="66">
        <v>5776.78</v>
      </c>
      <c r="G23" s="67">
        <v>0</v>
      </c>
      <c r="H23" s="67">
        <v>0</v>
      </c>
      <c r="I23" s="67">
        <v>13.366</v>
      </c>
      <c r="J23" s="67">
        <v>3.02</v>
      </c>
      <c r="K23" s="67">
        <v>2.1949999999999998</v>
      </c>
      <c r="L23" s="67">
        <v>13.78</v>
      </c>
      <c r="M23" s="67">
        <v>0</v>
      </c>
      <c r="N23" s="67">
        <v>30.967199999999998</v>
      </c>
      <c r="O23" s="67">
        <v>112.47239999999999</v>
      </c>
      <c r="P23" s="67">
        <v>18.5</v>
      </c>
      <c r="Q23" s="68">
        <v>441.84919999999994</v>
      </c>
      <c r="R23" s="68">
        <v>8165.1363999999994</v>
      </c>
    </row>
    <row r="24" spans="1:18" ht="22.15" customHeight="1">
      <c r="A24" s="63">
        <v>21</v>
      </c>
      <c r="B24" s="64" t="s">
        <v>131</v>
      </c>
      <c r="C24" s="65">
        <v>75.158000000000001</v>
      </c>
      <c r="D24" s="65">
        <v>957.96299999999997</v>
      </c>
      <c r="E24" s="66">
        <v>190.78199999999998</v>
      </c>
      <c r="F24" s="66">
        <v>2330.096</v>
      </c>
      <c r="G24" s="67">
        <v>0</v>
      </c>
      <c r="H24" s="67">
        <v>0</v>
      </c>
      <c r="I24" s="67">
        <v>343.226</v>
      </c>
      <c r="J24" s="67">
        <v>209.791</v>
      </c>
      <c r="K24" s="67">
        <v>3.65</v>
      </c>
      <c r="L24" s="67">
        <v>8.1199999999999992</v>
      </c>
      <c r="M24" s="67">
        <v>0</v>
      </c>
      <c r="N24" s="67">
        <v>971.3395999999999</v>
      </c>
      <c r="O24" s="67">
        <v>1161.3519999999999</v>
      </c>
      <c r="P24" s="67">
        <v>12.5</v>
      </c>
      <c r="Q24" s="68">
        <v>1584.1555999999998</v>
      </c>
      <c r="R24" s="68">
        <v>4679.8220000000001</v>
      </c>
    </row>
    <row r="25" spans="1:18" ht="22.15" customHeight="1">
      <c r="A25" s="63">
        <v>22</v>
      </c>
      <c r="B25" s="64" t="s">
        <v>113</v>
      </c>
      <c r="C25" s="65">
        <v>20.162000000000003</v>
      </c>
      <c r="D25" s="65">
        <v>50.765000000000001</v>
      </c>
      <c r="E25" s="66">
        <v>21.045000000000002</v>
      </c>
      <c r="F25" s="66">
        <v>124.203</v>
      </c>
      <c r="G25" s="67">
        <v>0</v>
      </c>
      <c r="H25" s="67">
        <v>0</v>
      </c>
      <c r="I25" s="67">
        <v>0</v>
      </c>
      <c r="J25" s="67">
        <v>0</v>
      </c>
      <c r="K25" s="67">
        <v>0.24199999999999999</v>
      </c>
      <c r="L25" s="67">
        <v>16.5</v>
      </c>
      <c r="M25" s="67">
        <v>8.6061738141454264E-2</v>
      </c>
      <c r="N25" s="67">
        <v>42.436</v>
      </c>
      <c r="O25" s="67">
        <v>102.938</v>
      </c>
      <c r="P25" s="67">
        <v>0.53</v>
      </c>
      <c r="Q25" s="68">
        <v>83.885000000000005</v>
      </c>
      <c r="R25" s="68">
        <v>295.02206173814147</v>
      </c>
    </row>
    <row r="26" spans="1:18" ht="22.15" customHeight="1">
      <c r="A26" s="63">
        <v>23</v>
      </c>
      <c r="B26" s="64" t="s">
        <v>114</v>
      </c>
      <c r="C26" s="65">
        <v>322.01754</v>
      </c>
      <c r="D26" s="65">
        <v>6738.7888000000003</v>
      </c>
      <c r="E26" s="66">
        <v>383.87221000000005</v>
      </c>
      <c r="F26" s="66">
        <v>9523.9660899999999</v>
      </c>
      <c r="G26" s="67">
        <v>653.04199999999992</v>
      </c>
      <c r="H26" s="67">
        <v>3613.4932000000003</v>
      </c>
      <c r="I26" s="67">
        <v>13.209759999999999</v>
      </c>
      <c r="J26" s="67">
        <v>123.95081999999999</v>
      </c>
      <c r="K26" s="67">
        <v>45.138295999999997</v>
      </c>
      <c r="L26" s="67">
        <v>598.54131000000007</v>
      </c>
      <c r="M26" s="67">
        <v>0.20976923076923076</v>
      </c>
      <c r="N26" s="67">
        <v>113.37700000000001</v>
      </c>
      <c r="O26" s="67">
        <v>195.16899999999998</v>
      </c>
      <c r="P26" s="67">
        <v>2.4500000000000002</v>
      </c>
      <c r="Q26" s="68">
        <v>1530.656806</v>
      </c>
      <c r="R26" s="68">
        <v>20796.568989230771</v>
      </c>
    </row>
    <row r="27" spans="1:18" ht="22.15" customHeight="1">
      <c r="A27" s="63">
        <v>24</v>
      </c>
      <c r="B27" s="87" t="s">
        <v>115</v>
      </c>
      <c r="C27" s="65">
        <v>172.64702000000003</v>
      </c>
      <c r="D27" s="65">
        <v>2271.7964200000001</v>
      </c>
      <c r="E27" s="66">
        <v>74.031029999999987</v>
      </c>
      <c r="F27" s="66">
        <v>1621.6264899999999</v>
      </c>
      <c r="G27" s="67">
        <v>1.11988</v>
      </c>
      <c r="H27" s="67">
        <v>6.0588753406182052</v>
      </c>
      <c r="I27" s="67">
        <v>1.2610299999999999</v>
      </c>
      <c r="J27" s="67">
        <v>5.95716</v>
      </c>
      <c r="K27" s="67">
        <v>4.0510700000000002</v>
      </c>
      <c r="L27" s="67">
        <v>64.210030000000003</v>
      </c>
      <c r="M27" s="67">
        <v>7.5986266178266177</v>
      </c>
      <c r="N27" s="67">
        <v>141.62145000000001</v>
      </c>
      <c r="O27" s="67">
        <v>793.62315000000001</v>
      </c>
      <c r="P27" s="67">
        <v>0.9</v>
      </c>
      <c r="Q27" s="68">
        <v>394.73148000000003</v>
      </c>
      <c r="R27" s="68">
        <v>4771.7707519584446</v>
      </c>
    </row>
    <row r="28" spans="1:18" ht="22.15" customHeight="1">
      <c r="A28" s="63">
        <v>25</v>
      </c>
      <c r="B28" s="64" t="s">
        <v>116</v>
      </c>
      <c r="C28" s="65">
        <v>55.638000000000005</v>
      </c>
      <c r="D28" s="65">
        <v>569.49300000000017</v>
      </c>
      <c r="E28" s="66">
        <v>48.110000000000007</v>
      </c>
      <c r="F28" s="66">
        <v>1054.624</v>
      </c>
      <c r="G28" s="67">
        <v>15.283000000000001</v>
      </c>
      <c r="H28" s="67">
        <v>36.823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6.7385333333333337</v>
      </c>
      <c r="O28" s="67">
        <v>28.560067333333336</v>
      </c>
      <c r="P28" s="67">
        <v>0.22</v>
      </c>
      <c r="Q28" s="68">
        <v>125.76953333333336</v>
      </c>
      <c r="R28" s="68">
        <v>1689.7200673333336</v>
      </c>
    </row>
    <row r="29" spans="1:18" ht="22.15" customHeight="1">
      <c r="A29" s="63">
        <v>26</v>
      </c>
      <c r="B29" s="64" t="s">
        <v>117</v>
      </c>
      <c r="C29" s="65">
        <v>505.13400000000001</v>
      </c>
      <c r="D29" s="65">
        <v>11259.234999999999</v>
      </c>
      <c r="E29" s="66">
        <v>1326.9199999999996</v>
      </c>
      <c r="F29" s="66">
        <v>29934.924999999996</v>
      </c>
      <c r="G29" s="67">
        <v>0</v>
      </c>
      <c r="H29" s="67">
        <v>0</v>
      </c>
      <c r="I29" s="67">
        <v>135.03699999999998</v>
      </c>
      <c r="J29" s="67">
        <v>13.534000000000001</v>
      </c>
      <c r="K29" s="67">
        <v>22.755000000000003</v>
      </c>
      <c r="L29" s="67">
        <v>49.657000000000004</v>
      </c>
      <c r="M29" s="67">
        <v>69.78</v>
      </c>
      <c r="N29" s="67">
        <v>405.27479999999997</v>
      </c>
      <c r="O29" s="67">
        <v>271.18280999999996</v>
      </c>
      <c r="P29" s="67">
        <v>23.5</v>
      </c>
      <c r="Q29" s="68">
        <v>2395.1207999999997</v>
      </c>
      <c r="R29" s="68">
        <v>41621.813809999992</v>
      </c>
    </row>
    <row r="30" spans="1:18" ht="22.15" customHeight="1">
      <c r="A30" s="63">
        <v>27</v>
      </c>
      <c r="B30" s="64" t="s">
        <v>118</v>
      </c>
      <c r="C30" s="65">
        <v>181.07220000000001</v>
      </c>
      <c r="D30" s="65">
        <v>648.90115000000003</v>
      </c>
      <c r="E30" s="66">
        <v>99.834650000000011</v>
      </c>
      <c r="F30" s="66">
        <v>1039.7033200000001</v>
      </c>
      <c r="G30" s="67">
        <v>0</v>
      </c>
      <c r="H30" s="67">
        <v>0</v>
      </c>
      <c r="I30" s="67">
        <v>0</v>
      </c>
      <c r="J30" s="67">
        <v>0</v>
      </c>
      <c r="K30" s="67">
        <v>1.6100999999999999</v>
      </c>
      <c r="L30" s="67">
        <v>3.02305</v>
      </c>
      <c r="M30" s="67">
        <v>11.355904365079365</v>
      </c>
      <c r="N30" s="67">
        <v>14.648878</v>
      </c>
      <c r="O30" s="67">
        <v>65.989122399999999</v>
      </c>
      <c r="P30" s="67">
        <v>3.1</v>
      </c>
      <c r="Q30" s="68">
        <v>297.16582800000003</v>
      </c>
      <c r="R30" s="68">
        <v>1772.0725467650796</v>
      </c>
    </row>
    <row r="31" spans="1:18" ht="22.15" customHeight="1">
      <c r="A31" s="63">
        <v>28</v>
      </c>
      <c r="B31" s="64" t="s">
        <v>119</v>
      </c>
      <c r="C31" s="65">
        <v>289.99200000000002</v>
      </c>
      <c r="D31" s="65">
        <v>3863.9479999999999</v>
      </c>
      <c r="E31" s="66">
        <v>1532.7700000000004</v>
      </c>
      <c r="F31" s="66">
        <v>28663.474000000002</v>
      </c>
      <c r="G31" s="67">
        <v>56.072000000000003</v>
      </c>
      <c r="H31" s="67">
        <v>314.2178492086648</v>
      </c>
      <c r="I31" s="67">
        <v>0</v>
      </c>
      <c r="J31" s="67">
        <v>0</v>
      </c>
      <c r="K31" s="67">
        <v>30.043999999999997</v>
      </c>
      <c r="L31" s="67">
        <v>75.052000000000007</v>
      </c>
      <c r="M31" s="67">
        <v>219.51659493284492</v>
      </c>
      <c r="N31" s="67">
        <v>63.971000000000011</v>
      </c>
      <c r="O31" s="67">
        <v>265.6570000000001</v>
      </c>
      <c r="P31" s="67">
        <v>21.5</v>
      </c>
      <c r="Q31" s="68">
        <v>1972.8490000000004</v>
      </c>
      <c r="R31" s="68">
        <v>33423.365444141513</v>
      </c>
    </row>
    <row r="32" spans="1:18" ht="22.15" customHeight="1">
      <c r="A32" s="63">
        <v>29</v>
      </c>
      <c r="B32" s="64" t="s">
        <v>185</v>
      </c>
      <c r="C32" s="65">
        <v>15.870999999999999</v>
      </c>
      <c r="D32" s="65">
        <v>121.86299999999999</v>
      </c>
      <c r="E32" s="66">
        <v>38.594099999999997</v>
      </c>
      <c r="F32" s="66">
        <v>518.25099999999998</v>
      </c>
      <c r="G32" s="67">
        <v>119.72999999999999</v>
      </c>
      <c r="H32" s="67">
        <v>246.62230566183149</v>
      </c>
      <c r="I32" s="65">
        <v>0</v>
      </c>
      <c r="J32" s="65">
        <v>0</v>
      </c>
      <c r="K32" s="67">
        <v>0.17762</v>
      </c>
      <c r="L32" s="67">
        <v>0.76700000000000013</v>
      </c>
      <c r="M32" s="67">
        <v>1.6E-2</v>
      </c>
      <c r="N32" s="67">
        <v>1.7170000000000001</v>
      </c>
      <c r="O32" s="67">
        <v>2.7919999999999998</v>
      </c>
      <c r="P32" s="65">
        <v>0.30998999999999999</v>
      </c>
      <c r="Q32" s="68">
        <v>176.08971999999997</v>
      </c>
      <c r="R32" s="68">
        <v>890.62129566183148</v>
      </c>
    </row>
    <row r="33" spans="1:18" ht="22.15" customHeight="1">
      <c r="A33" s="61"/>
      <c r="B33" s="71" t="s">
        <v>83</v>
      </c>
      <c r="C33" s="70">
        <v>7019.1117600000016</v>
      </c>
      <c r="D33" s="70">
        <v>107102.07990000001</v>
      </c>
      <c r="E33" s="70">
        <v>11280.091510000004</v>
      </c>
      <c r="F33" s="70">
        <v>204613.12265579996</v>
      </c>
      <c r="G33" s="70">
        <v>4167.3138800000006</v>
      </c>
      <c r="H33" s="70">
        <v>15376.66867048526</v>
      </c>
      <c r="I33" s="70">
        <v>582.53278999999998</v>
      </c>
      <c r="J33" s="70">
        <v>561.31927200000007</v>
      </c>
      <c r="K33" s="70">
        <v>275.54190699999998</v>
      </c>
      <c r="L33" s="70">
        <v>2298.0598009999999</v>
      </c>
      <c r="M33" s="70">
        <v>637.82596463496679</v>
      </c>
      <c r="N33" s="70">
        <v>4413.8603108333336</v>
      </c>
      <c r="O33" s="70">
        <v>10906.880353825331</v>
      </c>
      <c r="P33" s="70">
        <v>133.19998999999999</v>
      </c>
      <c r="Q33" s="70">
        <v>27738.45215783333</v>
      </c>
      <c r="R33" s="70">
        <v>341629.15660774545</v>
      </c>
    </row>
    <row r="34" spans="1:18">
      <c r="C34" s="72"/>
      <c r="D34" s="73"/>
      <c r="E34" s="74"/>
      <c r="F34" s="74"/>
      <c r="G34" s="74"/>
      <c r="H34" s="74"/>
      <c r="I34" s="75"/>
      <c r="J34" s="74"/>
      <c r="K34" s="74"/>
      <c r="L34" s="74"/>
      <c r="M34" s="74"/>
      <c r="N34" s="72"/>
      <c r="O34" s="72"/>
      <c r="P34" s="72"/>
      <c r="Q34" s="72"/>
      <c r="R34" s="72"/>
    </row>
    <row r="35" spans="1:18">
      <c r="D35" s="76"/>
      <c r="E35" s="77"/>
      <c r="F35" s="77"/>
      <c r="G35" s="74"/>
      <c r="H35" s="74"/>
      <c r="I35" s="75"/>
      <c r="J35" s="77"/>
      <c r="K35" s="77"/>
      <c r="L35" s="77"/>
      <c r="M35" s="77"/>
    </row>
    <row r="36" spans="1:18">
      <c r="E36" s="77"/>
      <c r="F36" s="77"/>
      <c r="G36" s="77"/>
      <c r="H36" s="77"/>
      <c r="I36" s="77"/>
      <c r="J36" s="77"/>
      <c r="K36" s="77"/>
      <c r="L36" s="77"/>
      <c r="M36" s="77"/>
    </row>
    <row r="37" spans="1:18">
      <c r="H37" s="78"/>
      <c r="J37" s="72"/>
      <c r="L37" s="72"/>
    </row>
    <row r="38" spans="1:18">
      <c r="H38" s="78"/>
    </row>
    <row r="39" spans="1:18">
      <c r="H39" s="78"/>
    </row>
  </sheetData>
  <mergeCells count="10">
    <mergeCell ref="A1:A2"/>
    <mergeCell ref="Q1:R1"/>
    <mergeCell ref="L2:M2"/>
    <mergeCell ref="B1:B2"/>
    <mergeCell ref="C1:D1"/>
    <mergeCell ref="E1:F1"/>
    <mergeCell ref="G1:H1"/>
    <mergeCell ref="I1:J1"/>
    <mergeCell ref="K1:M1"/>
    <mergeCell ref="N1:O1"/>
  </mergeCells>
  <pageMargins left="0.25" right="0.25" top="1.17" bottom="0.46" header="0.56000000000000005" footer="0.16"/>
  <pageSetup scale="64" fitToHeight="0" orientation="landscape" r:id="rId1"/>
  <headerFooter>
    <oddHeader>&amp;C&amp;"-,Bold"&amp;20Second Advance  Estimates of 2021-22
HORTICULTURE CROPS CATEGORY WISE &amp;R&amp;"-,Bold"&amp;12Area in '000 Ha
Production in '000 MT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H34"/>
  <sheetViews>
    <sheetView topLeftCell="I22" zoomScaleNormal="100" zoomScaleSheetLayoutView="100" workbookViewId="0">
      <selection activeCell="AW2" sqref="AW1:AW1048576"/>
    </sheetView>
  </sheetViews>
  <sheetFormatPr defaultColWidth="10.375" defaultRowHeight="16.5"/>
  <cols>
    <col min="1" max="1" width="8" style="114" customWidth="1"/>
    <col min="2" max="2" width="32.875" style="98" customWidth="1"/>
    <col min="3" max="58" width="9.5" style="98" customWidth="1"/>
    <col min="59" max="59" width="10.25" style="98" customWidth="1"/>
    <col min="60" max="60" width="11.625" style="98" customWidth="1"/>
    <col min="61" max="16384" width="10.375" style="98"/>
  </cols>
  <sheetData>
    <row r="1" spans="1:60" s="94" customFormat="1" ht="35.450000000000003" customHeight="1">
      <c r="A1" s="362" t="s">
        <v>219</v>
      </c>
      <c r="B1" s="360" t="s">
        <v>84</v>
      </c>
      <c r="C1" s="361" t="s">
        <v>132</v>
      </c>
      <c r="D1" s="361"/>
      <c r="E1" s="363" t="s">
        <v>133</v>
      </c>
      <c r="F1" s="361"/>
      <c r="G1" s="361" t="s">
        <v>134</v>
      </c>
      <c r="H1" s="361"/>
      <c r="I1" s="361" t="s">
        <v>135</v>
      </c>
      <c r="J1" s="361"/>
      <c r="K1" s="361" t="s">
        <v>136</v>
      </c>
      <c r="L1" s="361"/>
      <c r="M1" s="361" t="s">
        <v>137</v>
      </c>
      <c r="N1" s="361"/>
      <c r="O1" s="364" t="s">
        <v>138</v>
      </c>
      <c r="P1" s="364"/>
      <c r="Q1" s="361" t="s">
        <v>139</v>
      </c>
      <c r="R1" s="361"/>
      <c r="S1" s="361" t="s">
        <v>140</v>
      </c>
      <c r="T1" s="361"/>
      <c r="U1" s="361" t="s">
        <v>141</v>
      </c>
      <c r="V1" s="361"/>
      <c r="W1" s="361" t="s">
        <v>142</v>
      </c>
      <c r="X1" s="361"/>
      <c r="Y1" s="361" t="s">
        <v>143</v>
      </c>
      <c r="Z1" s="361"/>
      <c r="AA1" s="361" t="s">
        <v>144</v>
      </c>
      <c r="AB1" s="361"/>
      <c r="AC1" s="361" t="s">
        <v>174</v>
      </c>
      <c r="AD1" s="361"/>
      <c r="AE1" s="361" t="s">
        <v>145</v>
      </c>
      <c r="AF1" s="361"/>
      <c r="AG1" s="365" t="s">
        <v>146</v>
      </c>
      <c r="AH1" s="366"/>
      <c r="AI1" s="365" t="s">
        <v>147</v>
      </c>
      <c r="AJ1" s="366"/>
      <c r="AK1" s="361" t="s">
        <v>148</v>
      </c>
      <c r="AL1" s="361"/>
      <c r="AM1" s="361" t="s">
        <v>149</v>
      </c>
      <c r="AN1" s="361"/>
      <c r="AO1" s="361" t="s">
        <v>150</v>
      </c>
      <c r="AP1" s="361"/>
      <c r="AQ1" s="367" t="s">
        <v>151</v>
      </c>
      <c r="AR1" s="367"/>
      <c r="AS1" s="361" t="s">
        <v>152</v>
      </c>
      <c r="AT1" s="361"/>
      <c r="AU1" s="361" t="s">
        <v>153</v>
      </c>
      <c r="AV1" s="361"/>
      <c r="AW1" s="361" t="s">
        <v>154</v>
      </c>
      <c r="AX1" s="361"/>
      <c r="AY1" s="361" t="s">
        <v>155</v>
      </c>
      <c r="AZ1" s="361"/>
      <c r="BA1" s="361" t="s">
        <v>156</v>
      </c>
      <c r="BB1" s="361"/>
      <c r="BC1" s="361" t="s">
        <v>183</v>
      </c>
      <c r="BD1" s="361"/>
      <c r="BE1" s="365" t="s">
        <v>157</v>
      </c>
      <c r="BF1" s="366"/>
      <c r="BG1" s="365" t="s">
        <v>158</v>
      </c>
      <c r="BH1" s="366"/>
    </row>
    <row r="2" spans="1:60" s="94" customFormat="1" ht="20.45" customHeight="1">
      <c r="A2" s="362"/>
      <c r="B2" s="360"/>
      <c r="C2" s="93" t="s">
        <v>90</v>
      </c>
      <c r="D2" s="93" t="s">
        <v>91</v>
      </c>
      <c r="E2" s="93" t="s">
        <v>90</v>
      </c>
      <c r="F2" s="93" t="s">
        <v>91</v>
      </c>
      <c r="G2" s="93" t="s">
        <v>90</v>
      </c>
      <c r="H2" s="93" t="s">
        <v>91</v>
      </c>
      <c r="I2" s="93" t="s">
        <v>90</v>
      </c>
      <c r="J2" s="93" t="s">
        <v>91</v>
      </c>
      <c r="K2" s="93" t="s">
        <v>90</v>
      </c>
      <c r="L2" s="93" t="s">
        <v>91</v>
      </c>
      <c r="M2" s="93" t="s">
        <v>90</v>
      </c>
      <c r="N2" s="93" t="s">
        <v>91</v>
      </c>
      <c r="O2" s="93" t="s">
        <v>90</v>
      </c>
      <c r="P2" s="93" t="s">
        <v>91</v>
      </c>
      <c r="Q2" s="93" t="s">
        <v>90</v>
      </c>
      <c r="R2" s="93" t="s">
        <v>91</v>
      </c>
      <c r="S2" s="93" t="s">
        <v>90</v>
      </c>
      <c r="T2" s="93" t="s">
        <v>91</v>
      </c>
      <c r="U2" s="93" t="s">
        <v>90</v>
      </c>
      <c r="V2" s="93" t="s">
        <v>91</v>
      </c>
      <c r="W2" s="93" t="s">
        <v>90</v>
      </c>
      <c r="X2" s="93" t="s">
        <v>91</v>
      </c>
      <c r="Y2" s="93" t="s">
        <v>90</v>
      </c>
      <c r="Z2" s="93" t="s">
        <v>91</v>
      </c>
      <c r="AA2" s="93" t="s">
        <v>90</v>
      </c>
      <c r="AB2" s="93" t="s">
        <v>91</v>
      </c>
      <c r="AC2" s="93" t="s">
        <v>90</v>
      </c>
      <c r="AD2" s="93" t="s">
        <v>91</v>
      </c>
      <c r="AE2" s="93" t="s">
        <v>90</v>
      </c>
      <c r="AF2" s="93" t="s">
        <v>91</v>
      </c>
      <c r="AG2" s="93" t="s">
        <v>90</v>
      </c>
      <c r="AH2" s="93" t="s">
        <v>91</v>
      </c>
      <c r="AI2" s="93" t="s">
        <v>90</v>
      </c>
      <c r="AJ2" s="93" t="s">
        <v>91</v>
      </c>
      <c r="AK2" s="93" t="s">
        <v>90</v>
      </c>
      <c r="AL2" s="93" t="s">
        <v>91</v>
      </c>
      <c r="AM2" s="93" t="s">
        <v>90</v>
      </c>
      <c r="AN2" s="93" t="s">
        <v>91</v>
      </c>
      <c r="AO2" s="93" t="s">
        <v>90</v>
      </c>
      <c r="AP2" s="93" t="s">
        <v>91</v>
      </c>
      <c r="AQ2" s="93" t="s">
        <v>90</v>
      </c>
      <c r="AR2" s="93" t="s">
        <v>91</v>
      </c>
      <c r="AS2" s="93" t="s">
        <v>90</v>
      </c>
      <c r="AT2" s="93" t="s">
        <v>91</v>
      </c>
      <c r="AU2" s="93" t="s">
        <v>90</v>
      </c>
      <c r="AV2" s="93" t="s">
        <v>91</v>
      </c>
      <c r="AW2" s="93" t="s">
        <v>90</v>
      </c>
      <c r="AX2" s="93" t="s">
        <v>91</v>
      </c>
      <c r="AY2" s="93" t="s">
        <v>90</v>
      </c>
      <c r="AZ2" s="93" t="s">
        <v>91</v>
      </c>
      <c r="BA2" s="93" t="s">
        <v>90</v>
      </c>
      <c r="BB2" s="93" t="s">
        <v>91</v>
      </c>
      <c r="BC2" s="93" t="s">
        <v>90</v>
      </c>
      <c r="BD2" s="93" t="s">
        <v>91</v>
      </c>
      <c r="BE2" s="93" t="s">
        <v>90</v>
      </c>
      <c r="BF2" s="93" t="s">
        <v>91</v>
      </c>
      <c r="BG2" s="93" t="s">
        <v>90</v>
      </c>
      <c r="BH2" s="93" t="s">
        <v>91</v>
      </c>
    </row>
    <row r="3" spans="1:60" ht="20.45" customHeight="1">
      <c r="A3" s="95">
        <v>1</v>
      </c>
      <c r="B3" s="96" t="s">
        <v>92</v>
      </c>
      <c r="C3" s="92"/>
      <c r="D3" s="92"/>
      <c r="E3" s="92">
        <v>0.313</v>
      </c>
      <c r="F3" s="92">
        <v>5.6340000000000003</v>
      </c>
      <c r="G3" s="92"/>
      <c r="H3" s="92"/>
      <c r="I3" s="92"/>
      <c r="J3" s="92"/>
      <c r="K3" s="92">
        <v>110.16</v>
      </c>
      <c r="L3" s="92">
        <v>6829.67</v>
      </c>
      <c r="M3" s="92">
        <v>3.2480000000000002</v>
      </c>
      <c r="N3" s="92">
        <v>68.207999999999998</v>
      </c>
      <c r="O3" s="92">
        <v>1.8</v>
      </c>
      <c r="P3" s="92">
        <v>18</v>
      </c>
      <c r="Q3" s="92">
        <v>2.3570000000000002</v>
      </c>
      <c r="R3" s="92">
        <v>51.502000000000002</v>
      </c>
      <c r="S3" s="92">
        <v>14.063000000000001</v>
      </c>
      <c r="T3" s="92">
        <v>349.16399999999999</v>
      </c>
      <c r="U3" s="92">
        <v>1.2749999999999999</v>
      </c>
      <c r="V3" s="92">
        <v>17.850000000000001</v>
      </c>
      <c r="W3" s="92"/>
      <c r="X3" s="92"/>
      <c r="Y3" s="92"/>
      <c r="Z3" s="92"/>
      <c r="AA3" s="92">
        <v>417.05200000000002</v>
      </c>
      <c r="AB3" s="92">
        <v>5004.62</v>
      </c>
      <c r="AC3" s="92">
        <v>13.582000000000001</v>
      </c>
      <c r="AD3" s="92">
        <v>448.22399999999999</v>
      </c>
      <c r="AE3" s="92">
        <v>14.051</v>
      </c>
      <c r="AF3" s="92">
        <v>1491.06</v>
      </c>
      <c r="AG3" s="92"/>
      <c r="AH3" s="92"/>
      <c r="AI3" s="97">
        <v>160.06399999999999</v>
      </c>
      <c r="AJ3" s="97">
        <v>3682.7400000000002</v>
      </c>
      <c r="AK3" s="92"/>
      <c r="AL3" s="92"/>
      <c r="AM3" s="92"/>
      <c r="AN3" s="92"/>
      <c r="AO3" s="92"/>
      <c r="AP3" s="92"/>
      <c r="AQ3" s="92">
        <v>4.194</v>
      </c>
      <c r="AR3" s="92">
        <v>67.102000000000004</v>
      </c>
      <c r="AS3" s="92"/>
      <c r="AT3" s="92"/>
      <c r="AU3" s="92">
        <v>18.619</v>
      </c>
      <c r="AV3" s="92">
        <v>279.28699999999998</v>
      </c>
      <c r="AW3" s="92">
        <v>13.250999999999999</v>
      </c>
      <c r="AX3" s="92">
        <v>198.76499999999999</v>
      </c>
      <c r="AY3" s="92"/>
      <c r="AZ3" s="92"/>
      <c r="BA3" s="92"/>
      <c r="BB3" s="92"/>
      <c r="BC3" s="92">
        <v>18.762</v>
      </c>
      <c r="BD3" s="92">
        <v>619.14300000000003</v>
      </c>
      <c r="BE3" s="92">
        <v>8.4339999999999993</v>
      </c>
      <c r="BF3" s="92">
        <v>468.57</v>
      </c>
      <c r="BG3" s="97">
        <v>801.22499999999991</v>
      </c>
      <c r="BH3" s="97">
        <v>19599.539000000001</v>
      </c>
    </row>
    <row r="4" spans="1:60" ht="20.45" customHeight="1">
      <c r="A4" s="95">
        <v>2</v>
      </c>
      <c r="B4" s="99" t="s">
        <v>93</v>
      </c>
      <c r="C4" s="100"/>
      <c r="D4" s="100"/>
      <c r="E4" s="100"/>
      <c r="F4" s="100"/>
      <c r="G4" s="100">
        <v>4.6550000000000002</v>
      </c>
      <c r="H4" s="100">
        <v>7.3440000000000003</v>
      </c>
      <c r="I4" s="100"/>
      <c r="J4" s="100"/>
      <c r="K4" s="100">
        <v>2.2029999999999998</v>
      </c>
      <c r="L4" s="100">
        <v>14.031000000000001</v>
      </c>
      <c r="M4" s="100"/>
      <c r="N4" s="100"/>
      <c r="O4" s="100"/>
      <c r="P4" s="100"/>
      <c r="Q4" s="100"/>
      <c r="R4" s="100"/>
      <c r="S4" s="100">
        <v>0.11700000000000001</v>
      </c>
      <c r="T4" s="100">
        <v>0.22</v>
      </c>
      <c r="U4" s="100">
        <v>0.23400000000000001</v>
      </c>
      <c r="V4" s="100">
        <v>1.1140000000000001</v>
      </c>
      <c r="W4" s="100">
        <v>3.37</v>
      </c>
      <c r="X4" s="100">
        <v>7.4329999999999998</v>
      </c>
      <c r="Y4" s="100">
        <v>4.8000000000000001E-2</v>
      </c>
      <c r="Z4" s="100">
        <v>8.8999999999999996E-2</v>
      </c>
      <c r="AA4" s="100"/>
      <c r="AB4" s="100"/>
      <c r="AC4" s="100"/>
      <c r="AD4" s="100"/>
      <c r="AE4" s="100">
        <v>0.22700000000000001</v>
      </c>
      <c r="AF4" s="100">
        <v>3.161</v>
      </c>
      <c r="AG4" s="100"/>
      <c r="AH4" s="100"/>
      <c r="AI4" s="97">
        <v>32.918999999999997</v>
      </c>
      <c r="AJ4" s="97">
        <v>67.864000000000004</v>
      </c>
      <c r="AK4" s="100">
        <v>8.3000000000000004E-2</v>
      </c>
      <c r="AL4" s="100">
        <v>0.24</v>
      </c>
      <c r="AM4" s="100">
        <v>0.153</v>
      </c>
      <c r="AN4" s="100">
        <v>0.65100000000000002</v>
      </c>
      <c r="AO4" s="100"/>
      <c r="AP4" s="100"/>
      <c r="AQ4" s="100">
        <v>3.07</v>
      </c>
      <c r="AR4" s="100">
        <v>22.870999999999999</v>
      </c>
      <c r="AS4" s="100">
        <v>5.8999999999999997E-2</v>
      </c>
      <c r="AT4" s="100">
        <v>0.193</v>
      </c>
      <c r="AU4" s="100"/>
      <c r="AV4" s="100"/>
      <c r="AW4" s="100"/>
      <c r="AX4" s="100"/>
      <c r="AY4" s="100"/>
      <c r="AZ4" s="100"/>
      <c r="BA4" s="100">
        <v>1</v>
      </c>
      <c r="BB4" s="100">
        <v>0.63200000000000001</v>
      </c>
      <c r="BC4" s="100"/>
      <c r="BD4" s="100"/>
      <c r="BE4" s="100"/>
      <c r="BF4" s="100"/>
      <c r="BG4" s="97">
        <v>48.137999999999991</v>
      </c>
      <c r="BH4" s="97">
        <v>125.84299999999999</v>
      </c>
    </row>
    <row r="5" spans="1:60" ht="20.45" customHeight="1">
      <c r="A5" s="95">
        <v>3</v>
      </c>
      <c r="B5" s="96" t="s">
        <v>94</v>
      </c>
      <c r="C5" s="92"/>
      <c r="D5" s="92"/>
      <c r="E5" s="92">
        <v>1.01</v>
      </c>
      <c r="F5" s="92">
        <v>20.215</v>
      </c>
      <c r="G5" s="92"/>
      <c r="H5" s="92"/>
      <c r="I5" s="92"/>
      <c r="J5" s="92"/>
      <c r="K5" s="92">
        <v>58.331000000000003</v>
      </c>
      <c r="L5" s="92">
        <v>1107.9970000000001</v>
      </c>
      <c r="M5" s="92"/>
      <c r="N5" s="92"/>
      <c r="O5" s="92"/>
      <c r="P5" s="92"/>
      <c r="Q5" s="92"/>
      <c r="R5" s="92"/>
      <c r="S5" s="92">
        <v>5.8819999999999997</v>
      </c>
      <c r="T5" s="92">
        <v>129.345</v>
      </c>
      <c r="U5" s="92">
        <v>22.510999999999999</v>
      </c>
      <c r="V5" s="92">
        <v>212.16</v>
      </c>
      <c r="W5" s="92"/>
      <c r="X5" s="92"/>
      <c r="Y5" s="92">
        <v>6.125</v>
      </c>
      <c r="Z5" s="92">
        <v>60.576000000000001</v>
      </c>
      <c r="AA5" s="92">
        <v>4.8319999999999999</v>
      </c>
      <c r="AB5" s="92">
        <v>63.631</v>
      </c>
      <c r="AC5" s="92"/>
      <c r="AD5" s="92"/>
      <c r="AE5" s="92">
        <v>7.5309999999999997</v>
      </c>
      <c r="AF5" s="92">
        <v>152.72499999999999</v>
      </c>
      <c r="AG5" s="92"/>
      <c r="AH5" s="92"/>
      <c r="AI5" s="97">
        <v>31.009999999999998</v>
      </c>
      <c r="AJ5" s="97">
        <v>369.56299999999999</v>
      </c>
      <c r="AK5" s="92"/>
      <c r="AL5" s="92"/>
      <c r="AM5" s="92"/>
      <c r="AN5" s="92"/>
      <c r="AO5" s="92"/>
      <c r="AP5" s="92"/>
      <c r="AQ5" s="92">
        <v>17.846</v>
      </c>
      <c r="AR5" s="92">
        <v>338.98399999999998</v>
      </c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>
        <v>4.9020000000000001</v>
      </c>
      <c r="BF5" s="92">
        <v>48.994999999999997</v>
      </c>
      <c r="BG5" s="97">
        <v>159.97999999999999</v>
      </c>
      <c r="BH5" s="97">
        <v>2504.1909999999998</v>
      </c>
    </row>
    <row r="6" spans="1:60" ht="20.45" customHeight="1">
      <c r="A6" s="95">
        <v>4</v>
      </c>
      <c r="B6" s="96" t="s">
        <v>95</v>
      </c>
      <c r="C6" s="92"/>
      <c r="D6" s="92"/>
      <c r="E6" s="92">
        <v>3.444</v>
      </c>
      <c r="F6" s="92">
        <v>15.664</v>
      </c>
      <c r="G6" s="92"/>
      <c r="H6" s="92"/>
      <c r="I6" s="92"/>
      <c r="J6" s="92"/>
      <c r="K6" s="92">
        <v>42.920999999999999</v>
      </c>
      <c r="L6" s="92">
        <v>1968.211</v>
      </c>
      <c r="M6" s="92"/>
      <c r="N6" s="92"/>
      <c r="O6" s="92"/>
      <c r="P6" s="92"/>
      <c r="Q6" s="92"/>
      <c r="R6" s="92"/>
      <c r="S6" s="92">
        <v>29.803999999999998</v>
      </c>
      <c r="T6" s="92">
        <v>434.41</v>
      </c>
      <c r="U6" s="92"/>
      <c r="V6" s="92"/>
      <c r="W6" s="92"/>
      <c r="X6" s="92"/>
      <c r="Y6" s="92">
        <v>36.673999999999999</v>
      </c>
      <c r="Z6" s="92">
        <v>308.06400000000002</v>
      </c>
      <c r="AA6" s="92">
        <v>160.23699999999999</v>
      </c>
      <c r="AB6" s="92">
        <v>1549.973</v>
      </c>
      <c r="AC6" s="92">
        <v>3.8730000000000002</v>
      </c>
      <c r="AD6" s="92">
        <v>22.527000000000001</v>
      </c>
      <c r="AE6" s="92">
        <v>3.294</v>
      </c>
      <c r="AF6" s="92">
        <v>95.838999999999999</v>
      </c>
      <c r="AG6" s="92"/>
      <c r="AH6" s="92"/>
      <c r="AI6" s="97">
        <v>48.935000000000002</v>
      </c>
      <c r="AJ6" s="97">
        <v>378.58399999999995</v>
      </c>
      <c r="AK6" s="92"/>
      <c r="AL6" s="92"/>
      <c r="AM6" s="92"/>
      <c r="AN6" s="92"/>
      <c r="AO6" s="92"/>
      <c r="AP6" s="92"/>
      <c r="AQ6" s="92">
        <v>3.9</v>
      </c>
      <c r="AR6" s="92">
        <v>113.756</v>
      </c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>
        <v>3.339</v>
      </c>
      <c r="BD6" s="92">
        <v>43.52</v>
      </c>
      <c r="BE6" s="92">
        <v>27.353000000000002</v>
      </c>
      <c r="BF6" s="92">
        <v>56.195</v>
      </c>
      <c r="BG6" s="97">
        <v>363.77399999999994</v>
      </c>
      <c r="BH6" s="97">
        <v>4986.7430000000004</v>
      </c>
    </row>
    <row r="7" spans="1:60" ht="20.45" customHeight="1">
      <c r="A7" s="95">
        <v>5</v>
      </c>
      <c r="B7" s="96" t="s">
        <v>130</v>
      </c>
      <c r="C7" s="92"/>
      <c r="D7" s="92"/>
      <c r="E7" s="92">
        <v>3.722</v>
      </c>
      <c r="F7" s="92">
        <v>45.716000000000001</v>
      </c>
      <c r="G7" s="92"/>
      <c r="H7" s="92"/>
      <c r="I7" s="92">
        <v>6.4000000000000001E-2</v>
      </c>
      <c r="J7" s="92">
        <v>0.42799999999999999</v>
      </c>
      <c r="K7" s="92">
        <v>33.726999999999997</v>
      </c>
      <c r="L7" s="92">
        <v>574.31299999999999</v>
      </c>
      <c r="M7" s="92">
        <v>4.4420000000000002</v>
      </c>
      <c r="N7" s="92">
        <v>74.905000000000001</v>
      </c>
      <c r="O7" s="92">
        <v>9.0269999999999992</v>
      </c>
      <c r="P7" s="92">
        <v>52.725000000000001</v>
      </c>
      <c r="Q7" s="92"/>
      <c r="R7" s="92"/>
      <c r="S7" s="92">
        <v>19.584</v>
      </c>
      <c r="T7" s="92">
        <v>183.274</v>
      </c>
      <c r="U7" s="101">
        <v>9.9420000000000002</v>
      </c>
      <c r="V7" s="92">
        <v>200.358</v>
      </c>
      <c r="W7" s="92"/>
      <c r="X7" s="92"/>
      <c r="Y7" s="92">
        <v>8.4390000000000001</v>
      </c>
      <c r="Z7" s="92">
        <v>58.857999999999997</v>
      </c>
      <c r="AA7" s="92">
        <v>74.903000000000006</v>
      </c>
      <c r="AB7" s="92">
        <v>457.59399999999999</v>
      </c>
      <c r="AC7" s="92">
        <v>2.794</v>
      </c>
      <c r="AD7" s="92">
        <v>29.035</v>
      </c>
      <c r="AE7" s="92">
        <v>13.452</v>
      </c>
      <c r="AF7" s="92">
        <v>368.536</v>
      </c>
      <c r="AG7" s="92"/>
      <c r="AH7" s="92"/>
      <c r="AI7" s="97">
        <v>14.4025</v>
      </c>
      <c r="AJ7" s="97">
        <v>122.35603</v>
      </c>
      <c r="AK7" s="92"/>
      <c r="AL7" s="92"/>
      <c r="AM7" s="92">
        <v>2.1219999999999999</v>
      </c>
      <c r="AN7" s="92">
        <v>8.5820000000000007</v>
      </c>
      <c r="AO7" s="92"/>
      <c r="AP7" s="92"/>
      <c r="AQ7" s="92"/>
      <c r="AR7" s="92"/>
      <c r="AS7" s="92"/>
      <c r="AT7" s="92"/>
      <c r="AU7" s="92">
        <v>0.91200000000000003</v>
      </c>
      <c r="AV7" s="92">
        <v>6.1959999999999997</v>
      </c>
      <c r="AW7" s="92">
        <v>0.36499999999999999</v>
      </c>
      <c r="AX7" s="92">
        <v>1.702</v>
      </c>
      <c r="AY7" s="92">
        <v>1.4999999999999999E-2</v>
      </c>
      <c r="AZ7" s="92">
        <v>1E-3</v>
      </c>
      <c r="BA7" s="92"/>
      <c r="BB7" s="92"/>
      <c r="BC7" s="92">
        <v>3.4184999999999999</v>
      </c>
      <c r="BD7" s="92">
        <v>39.333500000000001</v>
      </c>
      <c r="BE7" s="92">
        <v>23.154999999999998</v>
      </c>
      <c r="BF7" s="92">
        <v>201.453</v>
      </c>
      <c r="BG7" s="97">
        <v>224.48600000000005</v>
      </c>
      <c r="BH7" s="97">
        <v>2425.3655300000005</v>
      </c>
    </row>
    <row r="8" spans="1:60" ht="20.45" customHeight="1">
      <c r="A8" s="95">
        <v>6</v>
      </c>
      <c r="B8" s="96" t="s">
        <v>97</v>
      </c>
      <c r="C8" s="102"/>
      <c r="D8" s="102"/>
      <c r="E8" s="102">
        <v>6.681</v>
      </c>
      <c r="F8" s="102">
        <v>64.896000000000001</v>
      </c>
      <c r="G8" s="102"/>
      <c r="H8" s="102"/>
      <c r="I8" s="103"/>
      <c r="J8" s="103"/>
      <c r="K8" s="103">
        <v>59.255000000000003</v>
      </c>
      <c r="L8" s="103">
        <v>3907.21</v>
      </c>
      <c r="M8" s="102">
        <v>10.675000000000001</v>
      </c>
      <c r="N8" s="102">
        <v>103.09</v>
      </c>
      <c r="O8" s="102">
        <v>7.2889999999999997</v>
      </c>
      <c r="P8" s="102">
        <v>73.498000000000005</v>
      </c>
      <c r="Q8" s="103"/>
      <c r="R8" s="103"/>
      <c r="S8" s="103">
        <v>14.326000000000001</v>
      </c>
      <c r="T8" s="103">
        <v>175.327</v>
      </c>
      <c r="U8" s="102"/>
      <c r="V8" s="102"/>
      <c r="W8" s="103"/>
      <c r="X8" s="103"/>
      <c r="Y8" s="103"/>
      <c r="Z8" s="103"/>
      <c r="AA8" s="103">
        <v>163.779</v>
      </c>
      <c r="AB8" s="103">
        <v>997.83</v>
      </c>
      <c r="AC8" s="103"/>
      <c r="AD8" s="103"/>
      <c r="AE8" s="102">
        <v>18.189</v>
      </c>
      <c r="AF8" s="102">
        <v>1107.8800000000001</v>
      </c>
      <c r="AG8" s="103"/>
      <c r="AH8" s="103"/>
      <c r="AI8" s="97">
        <v>48.503</v>
      </c>
      <c r="AJ8" s="97">
        <v>625.83299999999997</v>
      </c>
      <c r="AK8" s="103"/>
      <c r="AL8" s="103"/>
      <c r="AM8" s="103"/>
      <c r="AN8" s="103"/>
      <c r="AO8" s="102"/>
      <c r="AP8" s="102"/>
      <c r="AQ8" s="102"/>
      <c r="AR8" s="102"/>
      <c r="AS8" s="103"/>
      <c r="AT8" s="103"/>
      <c r="AU8" s="102">
        <v>44.573999999999998</v>
      </c>
      <c r="AV8" s="102">
        <v>684.32100000000003</v>
      </c>
      <c r="AW8" s="103">
        <v>26.988</v>
      </c>
      <c r="AX8" s="103">
        <v>273.86599999999999</v>
      </c>
      <c r="AY8" s="102"/>
      <c r="AZ8" s="102"/>
      <c r="BA8" s="102"/>
      <c r="BB8" s="102"/>
      <c r="BC8" s="102"/>
      <c r="BD8" s="102"/>
      <c r="BE8" s="103">
        <v>25.849</v>
      </c>
      <c r="BF8" s="103">
        <v>229.91800000000001</v>
      </c>
      <c r="BG8" s="97">
        <v>426.108</v>
      </c>
      <c r="BH8" s="97">
        <v>8243.6689999999999</v>
      </c>
    </row>
    <row r="9" spans="1:60" ht="20.45" customHeight="1">
      <c r="A9" s="95">
        <v>7</v>
      </c>
      <c r="B9" s="96" t="s">
        <v>98</v>
      </c>
      <c r="C9" s="104"/>
      <c r="D9" s="104"/>
      <c r="E9" s="92">
        <v>2.1749999999999998</v>
      </c>
      <c r="F9" s="92">
        <v>17.091999999999999</v>
      </c>
      <c r="G9" s="92"/>
      <c r="H9" s="92"/>
      <c r="I9" s="92">
        <v>5.8999999999999997E-2</v>
      </c>
      <c r="J9" s="92">
        <v>0.46300000000000002</v>
      </c>
      <c r="K9" s="92"/>
      <c r="L9" s="92"/>
      <c r="M9" s="92">
        <v>4.4630000000000001</v>
      </c>
      <c r="N9" s="92">
        <v>46.953000000000003</v>
      </c>
      <c r="O9" s="92"/>
      <c r="P9" s="92"/>
      <c r="Q9" s="92">
        <v>4.2000000000000003E-2</v>
      </c>
      <c r="R9" s="92">
        <v>2.0059999999999998</v>
      </c>
      <c r="S9" s="92">
        <v>15.66</v>
      </c>
      <c r="T9" s="92">
        <v>238.51400000000001</v>
      </c>
      <c r="U9" s="92"/>
      <c r="V9" s="92"/>
      <c r="W9" s="92"/>
      <c r="X9" s="92"/>
      <c r="Y9" s="92">
        <v>0.26600000000000001</v>
      </c>
      <c r="Z9" s="92">
        <v>3.3170000000000002</v>
      </c>
      <c r="AA9" s="92">
        <v>9.65</v>
      </c>
      <c r="AB9" s="92">
        <v>108.77</v>
      </c>
      <c r="AC9" s="92">
        <v>4.4580000000000002</v>
      </c>
      <c r="AD9" s="92">
        <v>72.725999999999999</v>
      </c>
      <c r="AE9" s="92"/>
      <c r="AF9" s="92"/>
      <c r="AG9" s="92"/>
      <c r="AH9" s="92"/>
      <c r="AI9" s="97">
        <v>24.437000000000001</v>
      </c>
      <c r="AJ9" s="97">
        <v>570.88300000000004</v>
      </c>
      <c r="AK9" s="92">
        <v>0.32900000000000001</v>
      </c>
      <c r="AL9" s="92">
        <v>5.38</v>
      </c>
      <c r="AM9" s="92">
        <v>0.27100000000000002</v>
      </c>
      <c r="AN9" s="92">
        <v>4.5410000000000004</v>
      </c>
      <c r="AO9" s="92"/>
      <c r="AP9" s="92"/>
      <c r="AQ9" s="92"/>
      <c r="AR9" s="92"/>
      <c r="AS9" s="92">
        <v>7.6999999999999999E-2</v>
      </c>
      <c r="AT9" s="92">
        <v>1.2509999999999999</v>
      </c>
      <c r="AU9" s="92">
        <v>7.2999999999999995E-2</v>
      </c>
      <c r="AV9" s="92">
        <v>0</v>
      </c>
      <c r="AW9" s="92">
        <v>1.81</v>
      </c>
      <c r="AX9" s="92">
        <v>21.827999999999999</v>
      </c>
      <c r="AY9" s="92">
        <v>0.219</v>
      </c>
      <c r="AZ9" s="92">
        <v>3.9710000000000001</v>
      </c>
      <c r="BA9" s="92"/>
      <c r="BB9" s="92"/>
      <c r="BC9" s="92">
        <v>4.524</v>
      </c>
      <c r="BD9" s="92">
        <v>105.43899999999999</v>
      </c>
      <c r="BE9" s="92">
        <v>4.6920000000000002</v>
      </c>
      <c r="BF9" s="92">
        <v>59.835999999999999</v>
      </c>
      <c r="BG9" s="97">
        <v>73.204999999999984</v>
      </c>
      <c r="BH9" s="97">
        <v>1262.9700000000003</v>
      </c>
    </row>
    <row r="10" spans="1:60" ht="20.45" customHeight="1">
      <c r="A10" s="95">
        <v>8</v>
      </c>
      <c r="B10" s="96" t="s">
        <v>99</v>
      </c>
      <c r="C10" s="100">
        <v>4.6749999999999998</v>
      </c>
      <c r="D10" s="100">
        <v>0.94599999999999995</v>
      </c>
      <c r="E10" s="100">
        <v>2.5649999999999999</v>
      </c>
      <c r="F10" s="100">
        <v>2.9289999999999998</v>
      </c>
      <c r="G10" s="100">
        <v>114.646</v>
      </c>
      <c r="H10" s="100">
        <v>643.84500000000003</v>
      </c>
      <c r="I10" s="100">
        <v>1.2999999999999999E-2</v>
      </c>
      <c r="J10" s="100">
        <v>5.0000000000000001E-3</v>
      </c>
      <c r="K10" s="100">
        <v>7.0000000000000007E-2</v>
      </c>
      <c r="L10" s="100">
        <v>0.153</v>
      </c>
      <c r="M10" s="100">
        <v>0.03</v>
      </c>
      <c r="N10" s="100">
        <v>4.2999999999999997E-2</v>
      </c>
      <c r="O10" s="100"/>
      <c r="P10" s="100"/>
      <c r="Q10" s="100">
        <v>6.8000000000000005E-2</v>
      </c>
      <c r="R10" s="100">
        <v>0.105</v>
      </c>
      <c r="S10" s="100">
        <v>2.6619999999999999</v>
      </c>
      <c r="T10" s="100">
        <v>3.1019999999999999</v>
      </c>
      <c r="U10" s="100">
        <v>1.752</v>
      </c>
      <c r="V10" s="100">
        <v>0.63500000000000001</v>
      </c>
      <c r="W10" s="100">
        <v>0.187</v>
      </c>
      <c r="X10" s="100">
        <v>1.1599999999999999</v>
      </c>
      <c r="Y10" s="100">
        <v>6.3540000000000001</v>
      </c>
      <c r="Z10" s="100">
        <v>6.181</v>
      </c>
      <c r="AA10" s="100">
        <v>42.418999999999997</v>
      </c>
      <c r="AB10" s="100">
        <v>40.613</v>
      </c>
      <c r="AC10" s="100"/>
      <c r="AD10" s="100"/>
      <c r="AE10" s="100">
        <v>0.21099999999999999</v>
      </c>
      <c r="AF10" s="100">
        <v>0.94599999999999995</v>
      </c>
      <c r="AG10" s="100"/>
      <c r="AH10" s="100"/>
      <c r="AI10" s="97">
        <v>25.653999999999996</v>
      </c>
      <c r="AJ10" s="97">
        <v>36.726999999999997</v>
      </c>
      <c r="AK10" s="100">
        <v>4.9340000000000002</v>
      </c>
      <c r="AL10" s="100">
        <v>7.1070000000000002</v>
      </c>
      <c r="AM10" s="100">
        <v>6.6680000000000001</v>
      </c>
      <c r="AN10" s="100">
        <v>20.803999999999998</v>
      </c>
      <c r="AO10" s="100">
        <v>0.90800000000000003</v>
      </c>
      <c r="AP10" s="100">
        <v>0.23</v>
      </c>
      <c r="AQ10" s="100"/>
      <c r="AR10" s="100"/>
      <c r="AS10" s="100">
        <v>8.7899999999999991</v>
      </c>
      <c r="AT10" s="100">
        <v>16.704999999999998</v>
      </c>
      <c r="AU10" s="100">
        <v>2.8279999999999998</v>
      </c>
      <c r="AV10" s="100">
        <v>2.8250000000000002</v>
      </c>
      <c r="AW10" s="100">
        <v>5.1999999999999998E-2</v>
      </c>
      <c r="AX10" s="100">
        <v>5.1999999999999998E-2</v>
      </c>
      <c r="AY10" s="100">
        <v>4.2000000000000003E-2</v>
      </c>
      <c r="AZ10" s="100">
        <v>0.214</v>
      </c>
      <c r="BA10" s="100">
        <v>4.4340000000000002</v>
      </c>
      <c r="BB10" s="100">
        <v>3.9140000000000001</v>
      </c>
      <c r="BC10" s="100"/>
      <c r="BD10" s="100"/>
      <c r="BE10" s="100">
        <v>4.8170000000000002</v>
      </c>
      <c r="BF10" s="100">
        <v>7.544999999999999</v>
      </c>
      <c r="BG10" s="97">
        <v>234.77899999999997</v>
      </c>
      <c r="BH10" s="97">
        <v>796.78600000000017</v>
      </c>
    </row>
    <row r="11" spans="1:60" ht="20.45" customHeight="1">
      <c r="A11" s="95">
        <v>9</v>
      </c>
      <c r="B11" s="105" t="s">
        <v>100</v>
      </c>
      <c r="C11" s="106">
        <v>5.4779999999999998</v>
      </c>
      <c r="D11" s="106">
        <v>9.9290000000000003</v>
      </c>
      <c r="E11" s="106">
        <v>2.0409999999999999</v>
      </c>
      <c r="F11" s="106">
        <v>3.9239999999999999</v>
      </c>
      <c r="G11" s="106">
        <v>167.095</v>
      </c>
      <c r="H11" s="106">
        <v>1719.4159999999999</v>
      </c>
      <c r="I11" s="106"/>
      <c r="J11" s="106"/>
      <c r="K11" s="106"/>
      <c r="L11" s="106"/>
      <c r="M11" s="106">
        <v>4.6760000000000002</v>
      </c>
      <c r="N11" s="106">
        <v>9.6240000000000006</v>
      </c>
      <c r="O11" s="106"/>
      <c r="P11" s="106"/>
      <c r="Q11" s="106">
        <v>0.28599999999999998</v>
      </c>
      <c r="R11" s="106">
        <v>1.581</v>
      </c>
      <c r="S11" s="106">
        <v>2.609</v>
      </c>
      <c r="T11" s="106">
        <v>8.5210000000000008</v>
      </c>
      <c r="U11" s="106"/>
      <c r="V11" s="106"/>
      <c r="W11" s="106">
        <v>4.0000000000000001E-3</v>
      </c>
      <c r="X11" s="106">
        <v>2.5000000000000001E-2</v>
      </c>
      <c r="Y11" s="106">
        <v>1.0920000000000001</v>
      </c>
      <c r="Z11" s="106">
        <v>1.7390000000000001</v>
      </c>
      <c r="AA11" s="106">
        <v>13.996</v>
      </c>
      <c r="AB11" s="106">
        <v>29.143000000000001</v>
      </c>
      <c r="AC11" s="106"/>
      <c r="AD11" s="106"/>
      <c r="AE11" s="106"/>
      <c r="AF11" s="106"/>
      <c r="AG11" s="106"/>
      <c r="AH11" s="106"/>
      <c r="AI11" s="97">
        <v>14.370000000000001</v>
      </c>
      <c r="AJ11" s="97">
        <v>31.197999999999997</v>
      </c>
      <c r="AK11" s="106">
        <v>2.4340000000000002</v>
      </c>
      <c r="AL11" s="106">
        <v>7.3529999999999998</v>
      </c>
      <c r="AM11" s="106">
        <v>14.007</v>
      </c>
      <c r="AN11" s="106">
        <v>83.171999999999997</v>
      </c>
      <c r="AO11" s="106">
        <v>0.55200000000000005</v>
      </c>
      <c r="AP11" s="106">
        <v>0.159</v>
      </c>
      <c r="AQ11" s="106"/>
      <c r="AR11" s="106"/>
      <c r="AS11" s="107">
        <v>4.0970000000000004</v>
      </c>
      <c r="AT11" s="107">
        <v>13.529</v>
      </c>
      <c r="AU11" s="106">
        <v>0.40300000000000002</v>
      </c>
      <c r="AV11" s="106">
        <v>0.94799999999999995</v>
      </c>
      <c r="AW11" s="106"/>
      <c r="AX11" s="106"/>
      <c r="AY11" s="106">
        <v>0.14899999999999999</v>
      </c>
      <c r="AZ11" s="106">
        <v>2.827</v>
      </c>
      <c r="BA11" s="106">
        <v>85.337000000000003</v>
      </c>
      <c r="BB11" s="106">
        <v>258.73200000000003</v>
      </c>
      <c r="BC11" s="106">
        <v>0.25</v>
      </c>
      <c r="BD11" s="106">
        <v>8.25</v>
      </c>
      <c r="BE11" s="106">
        <v>16.148000000000003</v>
      </c>
      <c r="BF11" s="106">
        <v>47.798000000000002</v>
      </c>
      <c r="BG11" s="97">
        <v>335.02400000000006</v>
      </c>
      <c r="BH11" s="97">
        <v>2237.8680000000004</v>
      </c>
    </row>
    <row r="12" spans="1:60" ht="20.45" customHeight="1">
      <c r="A12" s="95">
        <v>10</v>
      </c>
      <c r="B12" s="96" t="s">
        <v>101</v>
      </c>
      <c r="C12" s="92"/>
      <c r="D12" s="92"/>
      <c r="E12" s="92">
        <v>0.29799999999999999</v>
      </c>
      <c r="F12" s="92">
        <v>2.3410000000000002</v>
      </c>
      <c r="G12" s="92"/>
      <c r="H12" s="92"/>
      <c r="I12" s="92">
        <v>0.76500000000000001</v>
      </c>
      <c r="J12" s="92">
        <v>33.316000000000003</v>
      </c>
      <c r="K12" s="92">
        <v>5.6550000000000002</v>
      </c>
      <c r="L12" s="92">
        <v>33.106000000000002</v>
      </c>
      <c r="M12" s="92">
        <v>1.0089999999999999</v>
      </c>
      <c r="N12" s="92">
        <v>11.629</v>
      </c>
      <c r="O12" s="92">
        <v>2.3E-2</v>
      </c>
      <c r="P12" s="92">
        <v>4.8000000000000001E-2</v>
      </c>
      <c r="Q12" s="92"/>
      <c r="R12" s="92"/>
      <c r="S12" s="92">
        <v>8.81</v>
      </c>
      <c r="T12" s="92">
        <v>95.364000000000004</v>
      </c>
      <c r="U12" s="92">
        <v>14.933999999999999</v>
      </c>
      <c r="V12" s="92">
        <v>200.50800000000001</v>
      </c>
      <c r="W12" s="92"/>
      <c r="X12" s="92"/>
      <c r="Y12" s="92">
        <v>4.1379999999999999</v>
      </c>
      <c r="Z12" s="92">
        <v>65.028999999999996</v>
      </c>
      <c r="AA12" s="92">
        <v>55.723999999999997</v>
      </c>
      <c r="AB12" s="92">
        <v>461.53199999999998</v>
      </c>
      <c r="AC12" s="92">
        <v>1.56</v>
      </c>
      <c r="AD12" s="92">
        <v>2.6549999999999998</v>
      </c>
      <c r="AE12" s="92">
        <v>3.0590000000000002</v>
      </c>
      <c r="AF12" s="92">
        <v>128.679</v>
      </c>
      <c r="AG12" s="92"/>
      <c r="AH12" s="92"/>
      <c r="AI12" s="97">
        <v>7.0270000000000001</v>
      </c>
      <c r="AJ12" s="97">
        <v>89.153000000000006</v>
      </c>
      <c r="AK12" s="92"/>
      <c r="AL12" s="92"/>
      <c r="AM12" s="92"/>
      <c r="AN12" s="92"/>
      <c r="AO12" s="92"/>
      <c r="AP12" s="92"/>
      <c r="AQ12" s="92">
        <v>7.1999999999999995E-2</v>
      </c>
      <c r="AR12" s="92">
        <v>0.18099999999999999</v>
      </c>
      <c r="AS12" s="92"/>
      <c r="AT12" s="92"/>
      <c r="AU12" s="92">
        <v>1.9E-2</v>
      </c>
      <c r="AV12" s="92">
        <v>7.9000000000000001E-2</v>
      </c>
      <c r="AW12" s="92"/>
      <c r="AX12" s="92"/>
      <c r="AY12" s="92">
        <v>6.0999999999999999E-2</v>
      </c>
      <c r="AZ12" s="92">
        <v>9.1999999999999998E-2</v>
      </c>
      <c r="BA12" s="92"/>
      <c r="BB12" s="92"/>
      <c r="BC12" s="92">
        <v>2.2069999999999999</v>
      </c>
      <c r="BD12" s="92">
        <v>86.938999999999993</v>
      </c>
      <c r="BE12" s="92">
        <v>2.613</v>
      </c>
      <c r="BF12" s="92">
        <v>102.726</v>
      </c>
      <c r="BG12" s="97">
        <v>107.974</v>
      </c>
      <c r="BH12" s="97">
        <v>1313.3770000000004</v>
      </c>
    </row>
    <row r="13" spans="1:60" ht="20.45" customHeight="1">
      <c r="A13" s="95">
        <v>11</v>
      </c>
      <c r="B13" s="96" t="s">
        <v>129</v>
      </c>
      <c r="C13" s="92"/>
      <c r="D13" s="92"/>
      <c r="E13" s="92">
        <v>0.253</v>
      </c>
      <c r="F13" s="92">
        <v>1.976</v>
      </c>
      <c r="G13" s="92"/>
      <c r="H13" s="92"/>
      <c r="I13" s="92"/>
      <c r="J13" s="92"/>
      <c r="K13" s="92">
        <v>108.161</v>
      </c>
      <c r="L13" s="92">
        <v>2982.645</v>
      </c>
      <c r="M13" s="92">
        <v>0.47599999999999998</v>
      </c>
      <c r="N13" s="92">
        <v>11.348000000000001</v>
      </c>
      <c r="O13" s="92">
        <v>0.88700000000000001</v>
      </c>
      <c r="P13" s="92">
        <v>6.8949999999999996</v>
      </c>
      <c r="Q13" s="92">
        <v>35.497</v>
      </c>
      <c r="R13" s="92">
        <v>841.79600000000005</v>
      </c>
      <c r="S13" s="92">
        <v>7.5519999999999996</v>
      </c>
      <c r="T13" s="92">
        <v>153.47300000000001</v>
      </c>
      <c r="U13" s="92">
        <v>1.1619999999999999</v>
      </c>
      <c r="V13" s="92">
        <v>45.39</v>
      </c>
      <c r="W13" s="92"/>
      <c r="X13" s="92"/>
      <c r="Y13" s="92"/>
      <c r="Z13" s="92"/>
      <c r="AA13" s="92">
        <v>151.20099999999999</v>
      </c>
      <c r="AB13" s="92">
        <v>1418.85</v>
      </c>
      <c r="AC13" s="92">
        <v>0.99199999999999999</v>
      </c>
      <c r="AD13" s="92">
        <v>17.038</v>
      </c>
      <c r="AE13" s="92">
        <v>6.673</v>
      </c>
      <c r="AF13" s="92">
        <v>477.63</v>
      </c>
      <c r="AG13" s="92"/>
      <c r="AH13" s="92"/>
      <c r="AI13" s="97">
        <v>21.864000000000001</v>
      </c>
      <c r="AJ13" s="97">
        <v>502.48700000000002</v>
      </c>
      <c r="AK13" s="92"/>
      <c r="AL13" s="92"/>
      <c r="AM13" s="92"/>
      <c r="AN13" s="92"/>
      <c r="AO13" s="92"/>
      <c r="AP13" s="92"/>
      <c r="AQ13" s="92">
        <v>2.0960000000000001</v>
      </c>
      <c r="AR13" s="92">
        <v>116.425</v>
      </c>
      <c r="AS13" s="92"/>
      <c r="AT13" s="92"/>
      <c r="AU13" s="92">
        <v>25.69</v>
      </c>
      <c r="AV13" s="92">
        <v>255.005</v>
      </c>
      <c r="AW13" s="92">
        <v>7.4649999999999999</v>
      </c>
      <c r="AX13" s="92">
        <v>80.322000000000003</v>
      </c>
      <c r="AY13" s="92"/>
      <c r="AZ13" s="92"/>
      <c r="BA13" s="92"/>
      <c r="BB13" s="92"/>
      <c r="BC13" s="92">
        <v>3.95</v>
      </c>
      <c r="BD13" s="92">
        <v>255.779</v>
      </c>
      <c r="BE13" s="92">
        <v>2.34</v>
      </c>
      <c r="BF13" s="92">
        <v>19.663</v>
      </c>
      <c r="BG13" s="97">
        <v>376.2589999999999</v>
      </c>
      <c r="BH13" s="97">
        <v>7186.7219999999988</v>
      </c>
    </row>
    <row r="14" spans="1:60" ht="21" customHeight="1">
      <c r="A14" s="95">
        <v>12</v>
      </c>
      <c r="B14" s="96" t="s">
        <v>103</v>
      </c>
      <c r="C14" s="92">
        <v>0.01</v>
      </c>
      <c r="D14" s="92">
        <v>1E-3</v>
      </c>
      <c r="E14" s="92">
        <v>7.9000000000000001E-2</v>
      </c>
      <c r="F14" s="92">
        <v>9.4E-2</v>
      </c>
      <c r="G14" s="92">
        <v>7.4999999999999997E-2</v>
      </c>
      <c r="H14" s="92">
        <v>0</v>
      </c>
      <c r="I14" s="92"/>
      <c r="J14" s="92"/>
      <c r="K14" s="92">
        <v>111.9</v>
      </c>
      <c r="L14" s="92">
        <v>976.53499999999997</v>
      </c>
      <c r="M14" s="92"/>
      <c r="N14" s="92"/>
      <c r="O14" s="92">
        <v>4.7E-2</v>
      </c>
      <c r="P14" s="92">
        <v>8.8999999999999996E-2</v>
      </c>
      <c r="Q14" s="92">
        <v>3.0000000000000001E-3</v>
      </c>
      <c r="R14" s="92">
        <v>2E-3</v>
      </c>
      <c r="S14" s="92">
        <v>1.5580000000000001</v>
      </c>
      <c r="T14" s="92">
        <v>8.8089999999999993</v>
      </c>
      <c r="U14" s="92">
        <v>91.703999999999994</v>
      </c>
      <c r="V14" s="92">
        <v>263</v>
      </c>
      <c r="W14" s="92"/>
      <c r="X14" s="92"/>
      <c r="Y14" s="92"/>
      <c r="Z14" s="92"/>
      <c r="AA14" s="92">
        <v>77.760000000000005</v>
      </c>
      <c r="AB14" s="92">
        <v>482.99</v>
      </c>
      <c r="AC14" s="92"/>
      <c r="AD14" s="92"/>
      <c r="AE14" s="92">
        <v>18.100999999999999</v>
      </c>
      <c r="AF14" s="92">
        <v>106.607</v>
      </c>
      <c r="AG14" s="92">
        <v>0.52300000000000002</v>
      </c>
      <c r="AH14" s="92">
        <v>2.3540000000000001</v>
      </c>
      <c r="AI14" s="97">
        <v>0.43</v>
      </c>
      <c r="AJ14" s="97">
        <v>5.0250000000000004</v>
      </c>
      <c r="AK14" s="92"/>
      <c r="AL14" s="92"/>
      <c r="AM14" s="92"/>
      <c r="AN14" s="92"/>
      <c r="AO14" s="92"/>
      <c r="AP14" s="92"/>
      <c r="AQ14" s="92">
        <v>9.8109999999999999</v>
      </c>
      <c r="AR14" s="92">
        <v>89.051000000000002</v>
      </c>
      <c r="AS14" s="92"/>
      <c r="AT14" s="92"/>
      <c r="AU14" s="92">
        <v>7.0000000000000001E-3</v>
      </c>
      <c r="AV14" s="92">
        <v>5.0000000000000001E-3</v>
      </c>
      <c r="AW14" s="92">
        <v>0.57199999999999995</v>
      </c>
      <c r="AX14" s="92">
        <v>2.2719999999999998</v>
      </c>
      <c r="AY14" s="92">
        <v>3.5000000000000003E-2</v>
      </c>
      <c r="AZ14" s="92">
        <v>3.6999999999999998E-2</v>
      </c>
      <c r="BA14" s="92"/>
      <c r="BB14" s="92"/>
      <c r="BC14" s="92">
        <v>0.01</v>
      </c>
      <c r="BD14" s="92">
        <v>0.32100000000000001</v>
      </c>
      <c r="BE14" s="92">
        <v>1.32</v>
      </c>
      <c r="BF14" s="92">
        <v>5.9830000000000005</v>
      </c>
      <c r="BG14" s="97">
        <v>313.94500000000005</v>
      </c>
      <c r="BH14" s="97">
        <v>1943.175</v>
      </c>
    </row>
    <row r="15" spans="1:60" ht="20.45" customHeight="1">
      <c r="A15" s="95">
        <v>13</v>
      </c>
      <c r="B15" s="96" t="s">
        <v>104</v>
      </c>
      <c r="C15" s="92"/>
      <c r="D15" s="92"/>
      <c r="E15" s="92">
        <v>28.25</v>
      </c>
      <c r="F15" s="92">
        <v>431.39</v>
      </c>
      <c r="G15" s="92"/>
      <c r="H15" s="92"/>
      <c r="I15" s="92">
        <v>0.3</v>
      </c>
      <c r="J15" s="92">
        <v>2.44</v>
      </c>
      <c r="K15" s="92">
        <v>31.05</v>
      </c>
      <c r="L15" s="92">
        <v>2135.73</v>
      </c>
      <c r="M15" s="92">
        <v>11.98</v>
      </c>
      <c r="N15" s="92">
        <v>132.57</v>
      </c>
      <c r="O15" s="92">
        <v>8.52</v>
      </c>
      <c r="P15" s="92">
        <v>105.31</v>
      </c>
      <c r="Q15" s="92">
        <v>0.09</v>
      </c>
      <c r="R15" s="92">
        <v>1.36</v>
      </c>
      <c r="S15" s="92">
        <v>48.56</v>
      </c>
      <c r="T15" s="92">
        <v>916.53</v>
      </c>
      <c r="U15" s="92">
        <v>7.12</v>
      </c>
      <c r="V15" s="92">
        <v>151.41</v>
      </c>
      <c r="W15" s="92"/>
      <c r="X15" s="92"/>
      <c r="Y15" s="92"/>
      <c r="Z15" s="92"/>
      <c r="AA15" s="92">
        <v>59.77</v>
      </c>
      <c r="AB15" s="92">
        <v>835.6</v>
      </c>
      <c r="AC15" s="92">
        <v>7.82</v>
      </c>
      <c r="AD15" s="92">
        <v>147.36000000000001</v>
      </c>
      <c r="AE15" s="92">
        <v>12.6</v>
      </c>
      <c r="AF15" s="92">
        <v>517.54999999999995</v>
      </c>
      <c r="AG15" s="92"/>
      <c r="AH15" s="92"/>
      <c r="AI15" s="97">
        <v>165.70000000000002</v>
      </c>
      <c r="AJ15" s="97">
        <v>2737.84</v>
      </c>
      <c r="AK15" s="92"/>
      <c r="AL15" s="92"/>
      <c r="AM15" s="92">
        <v>0.22</v>
      </c>
      <c r="AN15" s="92">
        <v>2.5099999999999998</v>
      </c>
      <c r="AO15" s="92"/>
      <c r="AP15" s="92"/>
      <c r="AQ15" s="92"/>
      <c r="AR15" s="92"/>
      <c r="AS15" s="92">
        <v>0.16</v>
      </c>
      <c r="AT15" s="92">
        <v>1.91</v>
      </c>
      <c r="AU15" s="92">
        <v>8.5500000000000007</v>
      </c>
      <c r="AV15" s="92">
        <v>103.71</v>
      </c>
      <c r="AW15" s="92">
        <v>0.35</v>
      </c>
      <c r="AX15" s="92">
        <v>6.05</v>
      </c>
      <c r="AY15" s="92">
        <v>0.09</v>
      </c>
      <c r="AZ15" s="92">
        <v>0.56999999999999995</v>
      </c>
      <c r="BA15" s="92"/>
      <c r="BB15" s="92"/>
      <c r="BC15" s="92">
        <v>14.01</v>
      </c>
      <c r="BD15" s="92">
        <v>358.5</v>
      </c>
      <c r="BE15" s="92">
        <v>21.33</v>
      </c>
      <c r="BF15" s="92">
        <v>251.52</v>
      </c>
      <c r="BG15" s="97">
        <v>426.47</v>
      </c>
      <c r="BH15" s="97">
        <v>8839.8599999999988</v>
      </c>
    </row>
    <row r="16" spans="1:60" ht="20.45" customHeight="1">
      <c r="A16" s="95">
        <v>14</v>
      </c>
      <c r="B16" s="96" t="s">
        <v>105</v>
      </c>
      <c r="C16" s="92">
        <v>3.0000000000000001E-3</v>
      </c>
      <c r="D16" s="92">
        <v>5.0000000000000001E-3</v>
      </c>
      <c r="E16" s="92">
        <v>1.327</v>
      </c>
      <c r="F16" s="92">
        <v>10.685</v>
      </c>
      <c r="G16" s="92"/>
      <c r="H16" s="92"/>
      <c r="I16" s="92"/>
      <c r="J16" s="92"/>
      <c r="K16" s="92">
        <v>90.814999999999998</v>
      </c>
      <c r="L16" s="92">
        <v>4885.8900000000003</v>
      </c>
      <c r="M16" s="92">
        <v>3.6429999999999998</v>
      </c>
      <c r="N16" s="92">
        <v>51.463999999999999</v>
      </c>
      <c r="O16" s="92">
        <v>15.661</v>
      </c>
      <c r="P16" s="92">
        <v>120.623</v>
      </c>
      <c r="Q16" s="92">
        <v>118.414</v>
      </c>
      <c r="R16" s="92">
        <v>2466.4690000000001</v>
      </c>
      <c r="S16" s="92">
        <v>13.430999999999999</v>
      </c>
      <c r="T16" s="92">
        <v>141.11500000000001</v>
      </c>
      <c r="U16" s="92">
        <v>0.31900000000000001</v>
      </c>
      <c r="V16" s="92">
        <v>7.2009999999999996</v>
      </c>
      <c r="W16" s="92"/>
      <c r="X16" s="92"/>
      <c r="Y16" s="92"/>
      <c r="Z16" s="92"/>
      <c r="AA16" s="92">
        <v>165.65700000000001</v>
      </c>
      <c r="AB16" s="92">
        <v>436.40899999999999</v>
      </c>
      <c r="AC16" s="92">
        <v>0.77900000000000003</v>
      </c>
      <c r="AD16" s="92">
        <v>13.557</v>
      </c>
      <c r="AE16" s="92">
        <v>15.592000000000001</v>
      </c>
      <c r="AF16" s="92">
        <v>487.66399999999999</v>
      </c>
      <c r="AG16" s="92"/>
      <c r="AH16" s="92"/>
      <c r="AI16" s="97">
        <v>216.67699999999999</v>
      </c>
      <c r="AJ16" s="97">
        <v>1958.2849999999999</v>
      </c>
      <c r="AK16" s="92"/>
      <c r="AL16" s="92"/>
      <c r="AM16" s="92"/>
      <c r="AN16" s="92"/>
      <c r="AO16" s="92"/>
      <c r="AP16" s="92"/>
      <c r="AQ16" s="92">
        <v>0.54900000000000004</v>
      </c>
      <c r="AR16" s="92">
        <v>13.48</v>
      </c>
      <c r="AS16" s="92">
        <v>5.0000000000000001E-3</v>
      </c>
      <c r="AT16" s="92">
        <v>0.01</v>
      </c>
      <c r="AU16" s="92">
        <v>162.49299999999999</v>
      </c>
      <c r="AV16" s="92">
        <v>1748.9690000000001</v>
      </c>
      <c r="AW16" s="92">
        <v>12.853999999999999</v>
      </c>
      <c r="AX16" s="92">
        <v>106.401</v>
      </c>
      <c r="AY16" s="92">
        <v>1.597</v>
      </c>
      <c r="AZ16" s="92">
        <v>3.246</v>
      </c>
      <c r="BA16" s="92"/>
      <c r="BB16" s="92"/>
      <c r="BC16" s="92">
        <v>4.8090000000000002</v>
      </c>
      <c r="BD16" s="92">
        <v>103.71899999999999</v>
      </c>
      <c r="BE16" s="92">
        <v>15.100999999999999</v>
      </c>
      <c r="BF16" s="92">
        <v>74.361999999999995</v>
      </c>
      <c r="BG16" s="97">
        <v>839.726</v>
      </c>
      <c r="BH16" s="97">
        <v>12629.553999999995</v>
      </c>
    </row>
    <row r="17" spans="1:60" ht="20.45" customHeight="1">
      <c r="A17" s="95">
        <v>15</v>
      </c>
      <c r="B17" s="108" t="s">
        <v>106</v>
      </c>
      <c r="C17" s="92"/>
      <c r="D17" s="92"/>
      <c r="E17" s="92">
        <v>0.111</v>
      </c>
      <c r="F17" s="92">
        <v>0.84799999999999998</v>
      </c>
      <c r="G17" s="92"/>
      <c r="H17" s="92"/>
      <c r="I17" s="92"/>
      <c r="J17" s="92"/>
      <c r="K17" s="92">
        <v>6.18</v>
      </c>
      <c r="L17" s="92">
        <v>88.498999999999995</v>
      </c>
      <c r="M17" s="92"/>
      <c r="N17" s="92"/>
      <c r="O17" s="92"/>
      <c r="P17" s="92"/>
      <c r="Q17" s="92">
        <v>1.9E-2</v>
      </c>
      <c r="R17" s="92">
        <v>0.222</v>
      </c>
      <c r="S17" s="92">
        <v>0.08</v>
      </c>
      <c r="T17" s="92">
        <v>0.71299999999999997</v>
      </c>
      <c r="U17" s="92">
        <v>3.2000000000000001E-2</v>
      </c>
      <c r="V17" s="92">
        <v>0.29799999999999999</v>
      </c>
      <c r="W17" s="92">
        <v>0.314</v>
      </c>
      <c r="X17" s="92">
        <v>3.01</v>
      </c>
      <c r="Y17" s="92">
        <v>5.7000000000000002E-2</v>
      </c>
      <c r="Z17" s="92">
        <v>0.32900000000000001</v>
      </c>
      <c r="AA17" s="92">
        <v>0.09</v>
      </c>
      <c r="AB17" s="92">
        <v>0.88900000000000001</v>
      </c>
      <c r="AC17" s="92"/>
      <c r="AD17" s="92"/>
      <c r="AE17" s="92">
        <v>0.104</v>
      </c>
      <c r="AF17" s="92">
        <v>4.1630000000000003</v>
      </c>
      <c r="AG17" s="92">
        <v>3.7050000000000001</v>
      </c>
      <c r="AH17" s="92">
        <v>37.732999999999997</v>
      </c>
      <c r="AI17" s="97">
        <v>10.785</v>
      </c>
      <c r="AJ17" s="97">
        <v>111.36200000000001</v>
      </c>
      <c r="AK17" s="92"/>
      <c r="AL17" s="92"/>
      <c r="AM17" s="92"/>
      <c r="AN17" s="92"/>
      <c r="AO17" s="92"/>
      <c r="AP17" s="92"/>
      <c r="AQ17" s="92">
        <v>12.119</v>
      </c>
      <c r="AR17" s="92">
        <v>134.821</v>
      </c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>
        <v>8.6999999999999994E-2</v>
      </c>
      <c r="BD17" s="92">
        <v>1.7549999999999999</v>
      </c>
      <c r="BE17" s="92">
        <v>7.9349999999999996</v>
      </c>
      <c r="BF17" s="92">
        <v>79.218000000000004</v>
      </c>
      <c r="BG17" s="97">
        <v>41.618000000000009</v>
      </c>
      <c r="BH17" s="97">
        <v>463.85999999999996</v>
      </c>
    </row>
    <row r="18" spans="1:60" ht="20.45" customHeight="1">
      <c r="A18" s="95">
        <v>16</v>
      </c>
      <c r="B18" s="96" t="s">
        <v>107</v>
      </c>
      <c r="C18" s="92"/>
      <c r="D18" s="92"/>
      <c r="E18" s="92"/>
      <c r="F18" s="92"/>
      <c r="G18" s="92"/>
      <c r="H18" s="92"/>
      <c r="I18" s="92"/>
      <c r="J18" s="92"/>
      <c r="K18" s="92">
        <v>7.4180000000000001</v>
      </c>
      <c r="L18" s="92">
        <v>95.852000000000004</v>
      </c>
      <c r="M18" s="92"/>
      <c r="N18" s="92"/>
      <c r="O18" s="92"/>
      <c r="P18" s="92"/>
      <c r="Q18" s="92"/>
      <c r="R18" s="92"/>
      <c r="S18" s="92"/>
      <c r="T18" s="92"/>
      <c r="U18" s="92">
        <v>1.7090000000000001</v>
      </c>
      <c r="V18" s="92">
        <v>17.667999999999999</v>
      </c>
      <c r="W18" s="92"/>
      <c r="X18" s="92"/>
      <c r="Y18" s="92"/>
      <c r="Z18" s="92"/>
      <c r="AA18" s="92"/>
      <c r="AB18" s="92"/>
      <c r="AC18" s="92"/>
      <c r="AD18" s="92"/>
      <c r="AE18" s="92">
        <v>0.88500000000000001</v>
      </c>
      <c r="AF18" s="92">
        <v>7.0609999999999999</v>
      </c>
      <c r="AG18" s="92"/>
      <c r="AH18" s="92"/>
      <c r="AI18" s="97">
        <v>12.651</v>
      </c>
      <c r="AJ18" s="97">
        <v>55.866999999999997</v>
      </c>
      <c r="AK18" s="92"/>
      <c r="AL18" s="92"/>
      <c r="AM18" s="92"/>
      <c r="AN18" s="92"/>
      <c r="AO18" s="92"/>
      <c r="AP18" s="92"/>
      <c r="AQ18" s="92">
        <v>12.355</v>
      </c>
      <c r="AR18" s="92">
        <v>139.82900000000001</v>
      </c>
      <c r="AS18" s="92"/>
      <c r="AT18" s="92"/>
      <c r="AU18" s="92"/>
      <c r="AV18" s="92"/>
      <c r="AW18" s="92"/>
      <c r="AX18" s="92"/>
      <c r="AY18" s="92">
        <v>0.13200000000000001</v>
      </c>
      <c r="AZ18" s="92">
        <v>1.196</v>
      </c>
      <c r="BA18" s="92"/>
      <c r="BB18" s="92"/>
      <c r="BC18" s="92"/>
      <c r="BD18" s="92"/>
      <c r="BE18" s="92">
        <v>2.226</v>
      </c>
      <c r="BF18" s="92">
        <v>60.691000000000003</v>
      </c>
      <c r="BG18" s="97">
        <v>37.375999999999998</v>
      </c>
      <c r="BH18" s="97">
        <v>378.1640000000001</v>
      </c>
    </row>
    <row r="19" spans="1:60" ht="20.45" customHeight="1">
      <c r="A19" s="95">
        <v>17</v>
      </c>
      <c r="B19" s="96" t="s">
        <v>108</v>
      </c>
      <c r="C19" s="92"/>
      <c r="D19" s="92"/>
      <c r="E19" s="92">
        <v>0.27900000000000003</v>
      </c>
      <c r="F19" s="92">
        <v>1.228</v>
      </c>
      <c r="G19" s="92"/>
      <c r="H19" s="92"/>
      <c r="I19" s="92"/>
      <c r="J19" s="92"/>
      <c r="K19" s="92">
        <v>11.678000000000001</v>
      </c>
      <c r="L19" s="92">
        <v>140.50200000000001</v>
      </c>
      <c r="M19" s="92"/>
      <c r="N19" s="92"/>
      <c r="O19" s="92"/>
      <c r="P19" s="92"/>
      <c r="Q19" s="92">
        <v>2.3340000000000001</v>
      </c>
      <c r="R19" s="92">
        <v>17.3</v>
      </c>
      <c r="S19" s="92">
        <v>0.42</v>
      </c>
      <c r="T19" s="92">
        <v>2.4159999999999999</v>
      </c>
      <c r="U19" s="92"/>
      <c r="V19" s="92"/>
      <c r="W19" s="92">
        <v>0.3</v>
      </c>
      <c r="X19" s="92">
        <v>1.03</v>
      </c>
      <c r="Y19" s="92">
        <v>0.45</v>
      </c>
      <c r="Z19" s="92">
        <v>1.85</v>
      </c>
      <c r="AA19" s="92">
        <v>0.95599999999999996</v>
      </c>
      <c r="AB19" s="92">
        <v>4.266</v>
      </c>
      <c r="AC19" s="92">
        <v>0.12</v>
      </c>
      <c r="AD19" s="92">
        <v>0.26</v>
      </c>
      <c r="AE19" s="92">
        <v>1.254</v>
      </c>
      <c r="AF19" s="92">
        <v>22.722999999999999</v>
      </c>
      <c r="AG19" s="92">
        <v>1.004</v>
      </c>
      <c r="AH19" s="92">
        <v>2.23</v>
      </c>
      <c r="AI19" s="97">
        <v>28.342999999999996</v>
      </c>
      <c r="AJ19" s="97">
        <v>91.033000000000001</v>
      </c>
      <c r="AK19" s="92"/>
      <c r="AL19" s="92"/>
      <c r="AM19" s="92"/>
      <c r="AN19" s="92"/>
      <c r="AO19" s="92"/>
      <c r="AP19" s="92"/>
      <c r="AQ19" s="92">
        <v>5.0270000000000001</v>
      </c>
      <c r="AR19" s="92">
        <v>29.023</v>
      </c>
      <c r="AS19" s="92"/>
      <c r="AT19" s="92"/>
      <c r="AU19" s="92"/>
      <c r="AV19" s="92"/>
      <c r="AW19" s="92">
        <v>4.0000000000000001E-3</v>
      </c>
      <c r="AX19" s="92">
        <v>0.02</v>
      </c>
      <c r="AY19" s="92">
        <v>0.17</v>
      </c>
      <c r="AZ19" s="92">
        <v>1.079</v>
      </c>
      <c r="BA19" s="92"/>
      <c r="BB19" s="92"/>
      <c r="BC19" s="92">
        <v>0.316</v>
      </c>
      <c r="BD19" s="92">
        <v>0.95</v>
      </c>
      <c r="BE19" s="92">
        <v>13.561</v>
      </c>
      <c r="BF19" s="92">
        <v>29.445</v>
      </c>
      <c r="BG19" s="97">
        <v>66.216000000000008</v>
      </c>
      <c r="BH19" s="97">
        <v>345.35499999999996</v>
      </c>
    </row>
    <row r="20" spans="1:60" ht="20.45" customHeight="1">
      <c r="A20" s="95">
        <v>18</v>
      </c>
      <c r="B20" s="99" t="s">
        <v>109</v>
      </c>
      <c r="C20" s="92"/>
      <c r="D20" s="92"/>
      <c r="E20" s="92">
        <v>0.23300000000000001</v>
      </c>
      <c r="F20" s="92">
        <v>2.419</v>
      </c>
      <c r="G20" s="92">
        <v>0.24099999999999999</v>
      </c>
      <c r="H20" s="92">
        <v>1.786</v>
      </c>
      <c r="I20" s="92"/>
      <c r="J20" s="92"/>
      <c r="K20" s="92">
        <v>6.9359999999999999</v>
      </c>
      <c r="L20" s="92">
        <v>86.147000000000006</v>
      </c>
      <c r="M20" s="92">
        <v>1.7000000000000001E-2</v>
      </c>
      <c r="N20" s="92">
        <v>0.09</v>
      </c>
      <c r="O20" s="92"/>
      <c r="P20" s="92"/>
      <c r="Q20" s="92">
        <v>3.2000000000000001E-2</v>
      </c>
      <c r="R20" s="92">
        <v>0.14499999999999999</v>
      </c>
      <c r="S20" s="92">
        <v>0.496</v>
      </c>
      <c r="T20" s="92">
        <v>3.8849999999999998</v>
      </c>
      <c r="U20" s="92">
        <v>0.10100000000000001</v>
      </c>
      <c r="V20" s="92">
        <v>1.0920000000000001</v>
      </c>
      <c r="W20" s="92">
        <v>0.29599999999999999</v>
      </c>
      <c r="X20" s="92">
        <v>1.7010000000000001</v>
      </c>
      <c r="Y20" s="92">
        <v>0.57299999999999995</v>
      </c>
      <c r="Z20" s="92">
        <v>3.3849999999999998</v>
      </c>
      <c r="AA20" s="92">
        <v>0.53900000000000003</v>
      </c>
      <c r="AB20" s="92">
        <v>3.5619999999999998</v>
      </c>
      <c r="AC20" s="92"/>
      <c r="AD20" s="92"/>
      <c r="AE20" s="92">
        <v>1.048</v>
      </c>
      <c r="AF20" s="92">
        <v>11.525</v>
      </c>
      <c r="AG20" s="92">
        <v>6.1870000000000003</v>
      </c>
      <c r="AH20" s="92">
        <v>15.262</v>
      </c>
      <c r="AI20" s="97">
        <v>6.552999999999999</v>
      </c>
      <c r="AJ20" s="97">
        <v>51.873999999999995</v>
      </c>
      <c r="AK20" s="92">
        <v>0.25600000000000001</v>
      </c>
      <c r="AL20" s="92">
        <v>1.78</v>
      </c>
      <c r="AM20" s="92">
        <v>0.20399999999999999</v>
      </c>
      <c r="AN20" s="92">
        <v>2.0350000000000001</v>
      </c>
      <c r="AO20" s="92"/>
      <c r="AP20" s="92"/>
      <c r="AQ20" s="92">
        <v>8.9260000000000002</v>
      </c>
      <c r="AR20" s="92">
        <v>113.68300000000001</v>
      </c>
      <c r="AS20" s="92">
        <v>0.438</v>
      </c>
      <c r="AT20" s="92">
        <v>2.71</v>
      </c>
      <c r="AU20" s="92">
        <v>7.3999999999999996E-2</v>
      </c>
      <c r="AV20" s="92">
        <v>0.41199999999999998</v>
      </c>
      <c r="AW20" s="92"/>
      <c r="AX20" s="92"/>
      <c r="AY20" s="92">
        <v>2E-3</v>
      </c>
      <c r="AZ20" s="92">
        <v>6.0000000000000001E-3</v>
      </c>
      <c r="BA20" s="92"/>
      <c r="BB20" s="92"/>
      <c r="BC20" s="92">
        <v>7.4999999999999997E-2</v>
      </c>
      <c r="BD20" s="92">
        <v>0.71</v>
      </c>
      <c r="BE20" s="92">
        <v>0.66799999999999993</v>
      </c>
      <c r="BF20" s="92">
        <v>9.1820000000000004</v>
      </c>
      <c r="BG20" s="97">
        <v>33.89500000000001</v>
      </c>
      <c r="BH20" s="97">
        <v>313.39099999999996</v>
      </c>
    </row>
    <row r="21" spans="1:60" ht="20.45" customHeight="1">
      <c r="A21" s="95">
        <v>19</v>
      </c>
      <c r="B21" s="96" t="s">
        <v>110</v>
      </c>
      <c r="C21" s="92"/>
      <c r="D21" s="92"/>
      <c r="E21" s="92">
        <v>2.1070000000000002</v>
      </c>
      <c r="F21" s="92">
        <v>1.52</v>
      </c>
      <c r="G21" s="92"/>
      <c r="H21" s="92"/>
      <c r="I21" s="92">
        <v>7.28</v>
      </c>
      <c r="J21" s="92">
        <v>45.31</v>
      </c>
      <c r="K21" s="92">
        <v>23.62</v>
      </c>
      <c r="L21" s="92">
        <v>502.85</v>
      </c>
      <c r="M21" s="92">
        <v>6.23</v>
      </c>
      <c r="N21" s="92">
        <v>38.9</v>
      </c>
      <c r="O21" s="92">
        <v>1.48</v>
      </c>
      <c r="P21" s="92">
        <v>5.95</v>
      </c>
      <c r="Q21" s="92"/>
      <c r="R21" s="92"/>
      <c r="S21" s="92">
        <v>14.95</v>
      </c>
      <c r="T21" s="92">
        <v>121.21</v>
      </c>
      <c r="U21" s="92">
        <v>13.56</v>
      </c>
      <c r="V21" s="92">
        <v>312.19</v>
      </c>
      <c r="W21" s="92"/>
      <c r="X21" s="92"/>
      <c r="Y21" s="92">
        <v>4.37</v>
      </c>
      <c r="Z21" s="92">
        <v>24.16</v>
      </c>
      <c r="AA21" s="92">
        <v>218.48</v>
      </c>
      <c r="AB21" s="92">
        <v>847.82</v>
      </c>
      <c r="AC21" s="92">
        <v>0.11</v>
      </c>
      <c r="AD21" s="92">
        <v>1.81</v>
      </c>
      <c r="AE21" s="92">
        <v>5.73</v>
      </c>
      <c r="AF21" s="92">
        <v>100.59</v>
      </c>
      <c r="AG21" s="92"/>
      <c r="AH21" s="92"/>
      <c r="AI21" s="97">
        <v>27.299999999999997</v>
      </c>
      <c r="AJ21" s="97">
        <v>302.85000000000002</v>
      </c>
      <c r="AK21" s="92"/>
      <c r="AL21" s="92"/>
      <c r="AM21" s="92"/>
      <c r="AN21" s="92"/>
      <c r="AO21" s="92"/>
      <c r="AP21" s="92"/>
      <c r="AQ21" s="92">
        <v>1.71</v>
      </c>
      <c r="AR21" s="92">
        <v>25.63</v>
      </c>
      <c r="AS21" s="92"/>
      <c r="AT21" s="92"/>
      <c r="AU21" s="92">
        <v>0.77</v>
      </c>
      <c r="AV21" s="92">
        <v>2.2000000000000002</v>
      </c>
      <c r="AW21" s="92">
        <v>2.34</v>
      </c>
      <c r="AX21" s="92">
        <v>13.53</v>
      </c>
      <c r="AY21" s="92"/>
      <c r="AZ21" s="92"/>
      <c r="BA21" s="92"/>
      <c r="BB21" s="92"/>
      <c r="BC21" s="92">
        <v>12.53</v>
      </c>
      <c r="BD21" s="92">
        <v>253.59</v>
      </c>
      <c r="BE21" s="92">
        <v>24.08</v>
      </c>
      <c r="BF21" s="92">
        <v>182.2</v>
      </c>
      <c r="BG21" s="97">
        <v>366.64699999999993</v>
      </c>
      <c r="BH21" s="97">
        <v>2782.3100000000004</v>
      </c>
    </row>
    <row r="22" spans="1:60" ht="20.45" customHeight="1">
      <c r="A22" s="95">
        <v>20</v>
      </c>
      <c r="B22" s="96" t="s">
        <v>111</v>
      </c>
      <c r="C22" s="92"/>
      <c r="D22" s="92"/>
      <c r="E22" s="92">
        <v>0.99099999999999999</v>
      </c>
      <c r="F22" s="92">
        <v>14.792999999999999</v>
      </c>
      <c r="G22" s="92"/>
      <c r="H22" s="92"/>
      <c r="I22" s="92"/>
      <c r="J22" s="92"/>
      <c r="K22" s="92">
        <v>0.14899999999999999</v>
      </c>
      <c r="L22" s="92">
        <v>9.1189999999999998</v>
      </c>
      <c r="M22" s="92">
        <v>1.155</v>
      </c>
      <c r="N22" s="92">
        <v>19.952999999999999</v>
      </c>
      <c r="O22" s="92"/>
      <c r="P22" s="92"/>
      <c r="Q22" s="92">
        <v>0.16500000000000001</v>
      </c>
      <c r="R22" s="92">
        <v>5.0140000000000002</v>
      </c>
      <c r="S22" s="92">
        <v>9.7889999999999997</v>
      </c>
      <c r="T22" s="92">
        <v>222.18199999999999</v>
      </c>
      <c r="U22" s="92"/>
      <c r="V22" s="92"/>
      <c r="W22" s="92"/>
      <c r="X22" s="92"/>
      <c r="Y22" s="92">
        <v>3.1669999999999998</v>
      </c>
      <c r="Z22" s="92">
        <v>51.920999999999999</v>
      </c>
      <c r="AA22" s="92">
        <v>8.5760000000000005</v>
      </c>
      <c r="AB22" s="92">
        <v>148.417</v>
      </c>
      <c r="AC22" s="92">
        <v>7.016</v>
      </c>
      <c r="AD22" s="92">
        <v>136.72800000000001</v>
      </c>
      <c r="AE22" s="92"/>
      <c r="AF22" s="92"/>
      <c r="AG22" s="92"/>
      <c r="AH22" s="92"/>
      <c r="AI22" s="97">
        <v>50.518999999999998</v>
      </c>
      <c r="AJ22" s="97">
        <v>1231.95</v>
      </c>
      <c r="AK22" s="92">
        <v>1.9370000000000001</v>
      </c>
      <c r="AL22" s="92">
        <v>34.683</v>
      </c>
      <c r="AM22" s="92">
        <v>3.657</v>
      </c>
      <c r="AN22" s="92">
        <v>86.332999999999998</v>
      </c>
      <c r="AO22" s="92"/>
      <c r="AP22" s="92"/>
      <c r="AQ22" s="92"/>
      <c r="AR22" s="92"/>
      <c r="AS22" s="92">
        <v>0.40200000000000002</v>
      </c>
      <c r="AT22" s="92">
        <v>7.0910000000000002</v>
      </c>
      <c r="AU22" s="92"/>
      <c r="AV22" s="92"/>
      <c r="AW22" s="92"/>
      <c r="AX22" s="92"/>
      <c r="AY22" s="92"/>
      <c r="AZ22" s="92"/>
      <c r="BA22" s="92"/>
      <c r="BB22" s="92"/>
      <c r="BC22" s="92">
        <v>2.306</v>
      </c>
      <c r="BD22" s="92">
        <v>41.713999999999999</v>
      </c>
      <c r="BE22" s="92">
        <v>14.746</v>
      </c>
      <c r="BF22" s="92">
        <v>230.68600000000001</v>
      </c>
      <c r="BG22" s="97">
        <v>104.57499999999997</v>
      </c>
      <c r="BH22" s="97">
        <v>2240.5839999999998</v>
      </c>
    </row>
    <row r="23" spans="1:60" ht="20.45" customHeight="1">
      <c r="A23" s="95">
        <v>21</v>
      </c>
      <c r="B23" s="96" t="s">
        <v>131</v>
      </c>
      <c r="C23" s="92"/>
      <c r="D23" s="92"/>
      <c r="E23" s="92">
        <v>1.752</v>
      </c>
      <c r="F23" s="92">
        <v>13.625</v>
      </c>
      <c r="G23" s="92"/>
      <c r="H23" s="92"/>
      <c r="I23" s="92"/>
      <c r="J23" s="92"/>
      <c r="K23" s="92">
        <v>3.5999999999999997E-2</v>
      </c>
      <c r="L23" s="92">
        <v>0.40699999999999997</v>
      </c>
      <c r="M23" s="92">
        <v>0.95799999999999996</v>
      </c>
      <c r="N23" s="92">
        <v>9.3190000000000008</v>
      </c>
      <c r="O23" s="92">
        <v>0.54</v>
      </c>
      <c r="P23" s="92">
        <v>4.9210000000000003</v>
      </c>
      <c r="Q23" s="92">
        <v>1E-3</v>
      </c>
      <c r="R23" s="92">
        <v>5.0000000000000001E-3</v>
      </c>
      <c r="S23" s="92">
        <v>6.7569999999999997</v>
      </c>
      <c r="T23" s="92">
        <v>51.128999999999998</v>
      </c>
      <c r="U23" s="92"/>
      <c r="V23" s="92"/>
      <c r="W23" s="92"/>
      <c r="X23" s="92"/>
      <c r="Y23" s="92"/>
      <c r="Z23" s="92"/>
      <c r="AA23" s="92">
        <v>5.1760000000000002</v>
      </c>
      <c r="AB23" s="92">
        <v>84.965000000000003</v>
      </c>
      <c r="AC23" s="92">
        <v>2.11</v>
      </c>
      <c r="AD23" s="92">
        <v>10.16</v>
      </c>
      <c r="AE23" s="92">
        <v>0.58399999999999996</v>
      </c>
      <c r="AF23" s="92">
        <v>9.1780000000000008</v>
      </c>
      <c r="AG23" s="92"/>
      <c r="AH23" s="92"/>
      <c r="AI23" s="97">
        <v>42.080000000000005</v>
      </c>
      <c r="AJ23" s="97">
        <v>675.44299999999998</v>
      </c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>
        <v>11.705</v>
      </c>
      <c r="AV23" s="92">
        <v>83.674999999999997</v>
      </c>
      <c r="AW23" s="92">
        <v>0.109</v>
      </c>
      <c r="AX23" s="92">
        <v>0.17799999999999999</v>
      </c>
      <c r="AY23" s="92"/>
      <c r="AZ23" s="92"/>
      <c r="BA23" s="92"/>
      <c r="BB23" s="92"/>
      <c r="BC23" s="92">
        <v>1.976</v>
      </c>
      <c r="BD23" s="92">
        <v>7.859</v>
      </c>
      <c r="BE23" s="92">
        <v>1.3740000000000001</v>
      </c>
      <c r="BF23" s="92">
        <v>7.0990000000000002</v>
      </c>
      <c r="BG23" s="97">
        <v>75.158000000000001</v>
      </c>
      <c r="BH23" s="97">
        <v>957.96299999999997</v>
      </c>
    </row>
    <row r="24" spans="1:60" ht="20.45" customHeight="1">
      <c r="A24" s="95">
        <v>22</v>
      </c>
      <c r="B24" s="96" t="s">
        <v>113</v>
      </c>
      <c r="C24" s="100"/>
      <c r="D24" s="100"/>
      <c r="E24" s="100"/>
      <c r="F24" s="100"/>
      <c r="G24" s="100"/>
      <c r="H24" s="100"/>
      <c r="I24" s="100"/>
      <c r="J24" s="100"/>
      <c r="K24" s="100">
        <v>1.302</v>
      </c>
      <c r="L24" s="100">
        <v>5.5350000000000001</v>
      </c>
      <c r="M24" s="100"/>
      <c r="N24" s="100"/>
      <c r="O24" s="100"/>
      <c r="P24" s="100"/>
      <c r="Q24" s="100"/>
      <c r="R24" s="100"/>
      <c r="S24" s="100">
        <v>1.42</v>
      </c>
      <c r="T24" s="100">
        <v>7.7679999999999998</v>
      </c>
      <c r="U24" s="100"/>
      <c r="V24" s="100"/>
      <c r="W24" s="100">
        <v>0.40600000000000003</v>
      </c>
      <c r="X24" s="100">
        <v>2.157</v>
      </c>
      <c r="Y24" s="100">
        <v>0.29199999999999998</v>
      </c>
      <c r="Z24" s="100">
        <v>0.96699999999999997</v>
      </c>
      <c r="AA24" s="100"/>
      <c r="AB24" s="100"/>
      <c r="AC24" s="100"/>
      <c r="AD24" s="100"/>
      <c r="AE24" s="100">
        <v>1.115</v>
      </c>
      <c r="AF24" s="100">
        <v>1.74</v>
      </c>
      <c r="AG24" s="100">
        <v>0.05</v>
      </c>
      <c r="AH24" s="100">
        <v>6.3E-2</v>
      </c>
      <c r="AI24" s="97">
        <v>13.263999999999999</v>
      </c>
      <c r="AJ24" s="97">
        <v>26.678000000000001</v>
      </c>
      <c r="AK24" s="100">
        <v>0.13800000000000001</v>
      </c>
      <c r="AL24" s="100">
        <v>0.33500000000000002</v>
      </c>
      <c r="AM24" s="100">
        <v>1.663</v>
      </c>
      <c r="AN24" s="100">
        <v>4.1369999999999996</v>
      </c>
      <c r="AO24" s="100"/>
      <c r="AP24" s="100"/>
      <c r="AQ24" s="100">
        <v>0.19700000000000001</v>
      </c>
      <c r="AR24" s="100">
        <v>0.99099999999999999</v>
      </c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>
        <v>0.315</v>
      </c>
      <c r="BF24" s="100">
        <v>0.39400000000000002</v>
      </c>
      <c r="BG24" s="97">
        <v>20.162000000000003</v>
      </c>
      <c r="BH24" s="97">
        <v>50.765000000000001</v>
      </c>
    </row>
    <row r="25" spans="1:60" ht="20.45" customHeight="1">
      <c r="A25" s="95">
        <v>23</v>
      </c>
      <c r="B25" s="96" t="s">
        <v>114</v>
      </c>
      <c r="C25" s="92"/>
      <c r="D25" s="92"/>
      <c r="E25" s="92">
        <v>8.7169899999999991</v>
      </c>
      <c r="F25" s="92">
        <v>205.70018999999999</v>
      </c>
      <c r="G25" s="92"/>
      <c r="H25" s="92"/>
      <c r="I25" s="92"/>
      <c r="J25" s="92"/>
      <c r="K25" s="92">
        <v>101.82284</v>
      </c>
      <c r="L25" s="92">
        <v>3939.5037699999998</v>
      </c>
      <c r="M25" s="92">
        <v>4.3400000000000001E-2</v>
      </c>
      <c r="N25" s="92">
        <v>0.38795000000000002</v>
      </c>
      <c r="O25" s="92">
        <v>0.37957000000000002</v>
      </c>
      <c r="P25" s="92">
        <v>2.4142000000000001</v>
      </c>
      <c r="Q25" s="92">
        <v>1.9502299999999999</v>
      </c>
      <c r="R25" s="92">
        <v>47.6586</v>
      </c>
      <c r="S25" s="92">
        <v>14.3329</v>
      </c>
      <c r="T25" s="92">
        <v>360.46114999999998</v>
      </c>
      <c r="U25" s="92">
        <v>3.2986900000000001</v>
      </c>
      <c r="V25" s="92">
        <v>138.51058</v>
      </c>
      <c r="W25" s="92"/>
      <c r="X25" s="92"/>
      <c r="Y25" s="92"/>
      <c r="Z25" s="92"/>
      <c r="AA25" s="92">
        <v>146.55902</v>
      </c>
      <c r="AB25" s="92">
        <v>927.55785000000003</v>
      </c>
      <c r="AC25" s="92">
        <v>2.0720200000000002</v>
      </c>
      <c r="AD25" s="92">
        <v>40.828490000000002</v>
      </c>
      <c r="AE25" s="92">
        <v>3.2366600000000001</v>
      </c>
      <c r="AF25" s="92">
        <v>221.97991999999999</v>
      </c>
      <c r="AG25" s="92"/>
      <c r="AH25" s="92"/>
      <c r="AI25" s="97">
        <v>13.531140000000001</v>
      </c>
      <c r="AJ25" s="97">
        <v>194.37792999999999</v>
      </c>
      <c r="AK25" s="92">
        <v>1.6E-2</v>
      </c>
      <c r="AL25" s="92">
        <v>8.7999999999999995E-2</v>
      </c>
      <c r="AM25" s="92">
        <v>0.60111000000000003</v>
      </c>
      <c r="AN25" s="92">
        <v>9.0947099999999992</v>
      </c>
      <c r="AO25" s="92"/>
      <c r="AP25" s="92"/>
      <c r="AQ25" s="92">
        <v>0.94811000000000001</v>
      </c>
      <c r="AR25" s="92">
        <v>28.444559999999999</v>
      </c>
      <c r="AS25" s="92">
        <v>0.36919999999999997</v>
      </c>
      <c r="AT25" s="92">
        <v>5.3533999999999997</v>
      </c>
      <c r="AU25" s="92">
        <v>0.48845</v>
      </c>
      <c r="AV25" s="92">
        <v>5.7736000000000001</v>
      </c>
      <c r="AW25" s="92">
        <v>5.7633099999999997</v>
      </c>
      <c r="AX25" s="92">
        <v>86.995599999999996</v>
      </c>
      <c r="AY25" s="92">
        <v>6.1159999999999999E-2</v>
      </c>
      <c r="AZ25" s="92">
        <v>0.36696000000000001</v>
      </c>
      <c r="BA25" s="92"/>
      <c r="BB25" s="92"/>
      <c r="BC25" s="92">
        <v>15.475989999999999</v>
      </c>
      <c r="BD25" s="92">
        <v>454.65949000000001</v>
      </c>
      <c r="BE25" s="92">
        <v>2.3507500000000001</v>
      </c>
      <c r="BF25" s="92">
        <v>68.63185</v>
      </c>
      <c r="BG25" s="97">
        <v>322.01754</v>
      </c>
      <c r="BH25" s="97">
        <v>6738.7888000000003</v>
      </c>
    </row>
    <row r="26" spans="1:60" ht="20.45" customHeight="1">
      <c r="A26" s="95">
        <v>24</v>
      </c>
      <c r="B26" s="109" t="s">
        <v>115</v>
      </c>
      <c r="C26" s="92"/>
      <c r="D26" s="92"/>
      <c r="E26" s="92">
        <v>0.15293000000000001</v>
      </c>
      <c r="F26" s="92">
        <v>4.2157400000000003</v>
      </c>
      <c r="G26" s="92">
        <v>2.7100000000000002E-3</v>
      </c>
      <c r="H26" s="92">
        <v>1.4120000000000001E-2</v>
      </c>
      <c r="I26" s="92"/>
      <c r="J26" s="92"/>
      <c r="K26" s="92">
        <v>1.8327899999999999</v>
      </c>
      <c r="L26" s="92">
        <v>88.227729999999994</v>
      </c>
      <c r="M26" s="92">
        <v>0.18057999999999999</v>
      </c>
      <c r="N26" s="92">
        <v>7.06982</v>
      </c>
      <c r="O26" s="92">
        <v>0.84926000000000001</v>
      </c>
      <c r="P26" s="92">
        <v>11.33709</v>
      </c>
      <c r="Q26" s="92">
        <v>0.31856000000000001</v>
      </c>
      <c r="R26" s="92">
        <v>10.07413</v>
      </c>
      <c r="S26" s="92">
        <v>5.7564700000000002</v>
      </c>
      <c r="T26" s="92">
        <v>87.622169999999997</v>
      </c>
      <c r="U26" s="92">
        <v>1.524E-2</v>
      </c>
      <c r="V26" s="92">
        <v>0.56986999999999999</v>
      </c>
      <c r="W26" s="92"/>
      <c r="X26" s="92"/>
      <c r="Y26" s="92"/>
      <c r="Z26" s="92"/>
      <c r="AA26" s="92">
        <v>126.40214</v>
      </c>
      <c r="AB26" s="92">
        <v>1133.9755600000001</v>
      </c>
      <c r="AC26" s="92">
        <v>0.13619000000000001</v>
      </c>
      <c r="AD26" s="92">
        <v>8.2473799999999997</v>
      </c>
      <c r="AE26" s="92">
        <v>2.1335099999999998</v>
      </c>
      <c r="AF26" s="92">
        <v>112.96952</v>
      </c>
      <c r="AG26" s="92">
        <v>9.1350000000000001E-2</v>
      </c>
      <c r="AH26" s="92">
        <v>0</v>
      </c>
      <c r="AI26" s="97">
        <v>30.165430000000001</v>
      </c>
      <c r="AJ26" s="97">
        <v>638.68394999999998</v>
      </c>
      <c r="AK26" s="92"/>
      <c r="AL26" s="92"/>
      <c r="AM26" s="92"/>
      <c r="AN26" s="92"/>
      <c r="AO26" s="92"/>
      <c r="AP26" s="92"/>
      <c r="AQ26" s="110">
        <v>2.0000000000000002E-5</v>
      </c>
      <c r="AR26" s="110">
        <v>4.0000000000000002E-4</v>
      </c>
      <c r="AS26" s="92"/>
      <c r="AT26" s="92"/>
      <c r="AU26" s="92">
        <v>1.02684</v>
      </c>
      <c r="AV26" s="92">
        <v>14.1724</v>
      </c>
      <c r="AW26" s="92">
        <v>0.99765999999999999</v>
      </c>
      <c r="AX26" s="92">
        <v>20.367760000000001</v>
      </c>
      <c r="AY26" s="92"/>
      <c r="AZ26" s="92"/>
      <c r="BA26" s="92"/>
      <c r="BB26" s="92"/>
      <c r="BC26" s="92">
        <v>1.7569600000000001</v>
      </c>
      <c r="BD26" s="92">
        <v>119.18877999999999</v>
      </c>
      <c r="BE26" s="92">
        <v>0.82838000000000012</v>
      </c>
      <c r="BF26" s="92">
        <v>15.06</v>
      </c>
      <c r="BG26" s="97">
        <v>172.64702000000003</v>
      </c>
      <c r="BH26" s="97">
        <v>2271.7964200000001</v>
      </c>
    </row>
    <row r="27" spans="1:60" ht="20.45" customHeight="1">
      <c r="A27" s="95">
        <v>25</v>
      </c>
      <c r="B27" s="96" t="s">
        <v>116</v>
      </c>
      <c r="C27" s="92"/>
      <c r="D27" s="92"/>
      <c r="E27" s="92"/>
      <c r="F27" s="92"/>
      <c r="G27" s="92"/>
      <c r="H27" s="92"/>
      <c r="I27" s="92"/>
      <c r="J27" s="92"/>
      <c r="K27" s="92">
        <v>10.667999999999999</v>
      </c>
      <c r="L27" s="92">
        <v>110.307</v>
      </c>
      <c r="M27" s="92"/>
      <c r="N27" s="92"/>
      <c r="O27" s="92"/>
      <c r="P27" s="92"/>
      <c r="Q27" s="92"/>
      <c r="R27" s="92"/>
      <c r="S27" s="92">
        <v>0.66900000000000004</v>
      </c>
      <c r="T27" s="92">
        <v>3.1379999999999999</v>
      </c>
      <c r="U27" s="92">
        <v>5.601</v>
      </c>
      <c r="V27" s="92">
        <v>135.93600000000001</v>
      </c>
      <c r="W27" s="92"/>
      <c r="X27" s="92"/>
      <c r="Y27" s="92">
        <v>0.95099999999999996</v>
      </c>
      <c r="Z27" s="92">
        <v>3.2810000000000001</v>
      </c>
      <c r="AA27" s="92">
        <v>10.336</v>
      </c>
      <c r="AB27" s="92">
        <v>52.61</v>
      </c>
      <c r="AC27" s="92"/>
      <c r="AD27" s="92"/>
      <c r="AE27" s="92">
        <v>3.234</v>
      </c>
      <c r="AF27" s="92">
        <v>32.662999999999997</v>
      </c>
      <c r="AG27" s="92"/>
      <c r="AH27" s="92"/>
      <c r="AI27" s="97">
        <v>11.242000000000001</v>
      </c>
      <c r="AJ27" s="97">
        <v>49.043999999999997</v>
      </c>
      <c r="AK27" s="92"/>
      <c r="AL27" s="92"/>
      <c r="AM27" s="92"/>
      <c r="AN27" s="92"/>
      <c r="AO27" s="92"/>
      <c r="AP27" s="92"/>
      <c r="AQ27" s="92">
        <v>9.8290000000000006</v>
      </c>
      <c r="AR27" s="92">
        <v>143.30699999999999</v>
      </c>
      <c r="AS27" s="92"/>
      <c r="AT27" s="92"/>
      <c r="AU27" s="92"/>
      <c r="AV27" s="92"/>
      <c r="AW27" s="92">
        <v>9.9000000000000005E-2</v>
      </c>
      <c r="AX27" s="92">
        <v>0.61899999999999999</v>
      </c>
      <c r="AY27" s="92"/>
      <c r="AZ27" s="92"/>
      <c r="BA27" s="92"/>
      <c r="BB27" s="92"/>
      <c r="BC27" s="92">
        <v>0.75900000000000001</v>
      </c>
      <c r="BD27" s="92">
        <v>19.013000000000002</v>
      </c>
      <c r="BE27" s="92">
        <v>2.25</v>
      </c>
      <c r="BF27" s="92">
        <v>19.574999999999999</v>
      </c>
      <c r="BG27" s="97">
        <v>55.638000000000005</v>
      </c>
      <c r="BH27" s="97">
        <v>569.49300000000017</v>
      </c>
    </row>
    <row r="28" spans="1:60" ht="20.45" customHeight="1">
      <c r="A28" s="95">
        <v>26</v>
      </c>
      <c r="B28" s="96" t="s">
        <v>117</v>
      </c>
      <c r="C28" s="92"/>
      <c r="D28" s="92"/>
      <c r="E28" s="92">
        <v>36.710999999999999</v>
      </c>
      <c r="F28" s="92">
        <v>402.79300000000001</v>
      </c>
      <c r="G28" s="92"/>
      <c r="H28" s="92"/>
      <c r="I28" s="92"/>
      <c r="J28" s="92"/>
      <c r="K28" s="92">
        <v>73.858999999999995</v>
      </c>
      <c r="L28" s="92">
        <v>3391.0140000000001</v>
      </c>
      <c r="M28" s="92"/>
      <c r="N28" s="92"/>
      <c r="O28" s="92"/>
      <c r="P28" s="92"/>
      <c r="Q28" s="92"/>
      <c r="R28" s="92"/>
      <c r="S28" s="92">
        <v>52.249000000000002</v>
      </c>
      <c r="T28" s="92">
        <v>983.58699999999999</v>
      </c>
      <c r="U28" s="92">
        <v>0.745</v>
      </c>
      <c r="V28" s="92">
        <v>18.597000000000001</v>
      </c>
      <c r="W28" s="92"/>
      <c r="X28" s="92"/>
      <c r="Y28" s="92">
        <v>4.5170000000000003</v>
      </c>
      <c r="Z28" s="92">
        <v>39.369999999999997</v>
      </c>
      <c r="AA28" s="92">
        <v>279.31400000000002</v>
      </c>
      <c r="AB28" s="92">
        <v>4807.8320000000003</v>
      </c>
      <c r="AC28" s="92">
        <v>22.672999999999998</v>
      </c>
      <c r="AD28" s="92">
        <v>592.51499999999999</v>
      </c>
      <c r="AE28" s="92">
        <v>2.3180000000000001</v>
      </c>
      <c r="AF28" s="92">
        <v>111.85</v>
      </c>
      <c r="AG28" s="92"/>
      <c r="AH28" s="92"/>
      <c r="AI28" s="97">
        <v>4.9660000000000002</v>
      </c>
      <c r="AJ28" s="97">
        <v>19.678999999999998</v>
      </c>
      <c r="AK28" s="92"/>
      <c r="AL28" s="92"/>
      <c r="AM28" s="92"/>
      <c r="AN28" s="92"/>
      <c r="AO28" s="92"/>
      <c r="AP28" s="92"/>
      <c r="AQ28" s="92"/>
      <c r="AR28" s="111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>
        <v>15.617000000000001</v>
      </c>
      <c r="BD28" s="92">
        <v>706.65</v>
      </c>
      <c r="BE28" s="92">
        <v>12.164999999999999</v>
      </c>
      <c r="BF28" s="92">
        <v>185.34800000000001</v>
      </c>
      <c r="BG28" s="97">
        <v>505.13400000000001</v>
      </c>
      <c r="BH28" s="97">
        <v>11259.234999999999</v>
      </c>
    </row>
    <row r="29" spans="1:60" ht="20.45" customHeight="1">
      <c r="A29" s="95">
        <v>27</v>
      </c>
      <c r="B29" s="96" t="s">
        <v>118</v>
      </c>
      <c r="C29" s="102"/>
      <c r="D29" s="102"/>
      <c r="E29" s="102">
        <v>0.99541999999999997</v>
      </c>
      <c r="F29" s="102">
        <v>2.3946800000000001</v>
      </c>
      <c r="G29" s="102">
        <v>25.98104</v>
      </c>
      <c r="H29" s="102">
        <v>64.880499999999998</v>
      </c>
      <c r="I29" s="103"/>
      <c r="J29" s="103"/>
      <c r="K29" s="103"/>
      <c r="L29" s="103"/>
      <c r="M29" s="102"/>
      <c r="N29" s="102"/>
      <c r="O29" s="102"/>
      <c r="P29" s="102"/>
      <c r="Q29" s="103"/>
      <c r="R29" s="103"/>
      <c r="S29" s="103">
        <v>4.1530199999999997</v>
      </c>
      <c r="T29" s="103">
        <v>21.747309999999999</v>
      </c>
      <c r="U29" s="102"/>
      <c r="V29" s="102"/>
      <c r="W29" s="103"/>
      <c r="X29" s="103"/>
      <c r="Y29" s="103">
        <v>10.718529999999999</v>
      </c>
      <c r="Z29" s="103">
        <v>24.721340000000001</v>
      </c>
      <c r="AA29" s="103">
        <v>36.59843</v>
      </c>
      <c r="AB29" s="103">
        <v>150.66654</v>
      </c>
      <c r="AC29" s="103"/>
      <c r="AD29" s="103"/>
      <c r="AE29" s="102"/>
      <c r="AF29" s="102"/>
      <c r="AG29" s="103"/>
      <c r="AH29" s="103"/>
      <c r="AI29" s="97">
        <v>21.75048</v>
      </c>
      <c r="AJ29" s="97">
        <v>86.851690000000005</v>
      </c>
      <c r="AK29" s="103">
        <v>8.2840299999999996</v>
      </c>
      <c r="AL29" s="103">
        <v>52.862220000000001</v>
      </c>
      <c r="AM29" s="103">
        <v>13.250209999999999</v>
      </c>
      <c r="AN29" s="103">
        <v>73.780060000000006</v>
      </c>
      <c r="AO29" s="102"/>
      <c r="AP29" s="102"/>
      <c r="AQ29" s="102"/>
      <c r="AR29" s="102"/>
      <c r="AS29" s="103">
        <v>9.0757100000000008</v>
      </c>
      <c r="AT29" s="103">
        <v>34.836869999999998</v>
      </c>
      <c r="AU29" s="102"/>
      <c r="AV29" s="102"/>
      <c r="AW29" s="103"/>
      <c r="AX29" s="103"/>
      <c r="AY29" s="102"/>
      <c r="AZ29" s="102"/>
      <c r="BA29" s="102">
        <v>17.76417</v>
      </c>
      <c r="BB29" s="102">
        <v>18.93346</v>
      </c>
      <c r="BC29" s="102"/>
      <c r="BD29" s="102"/>
      <c r="BE29" s="103">
        <v>32.501159999999999</v>
      </c>
      <c r="BF29" s="103">
        <v>117.22648</v>
      </c>
      <c r="BG29" s="97">
        <v>181.07220000000001</v>
      </c>
      <c r="BH29" s="97">
        <v>648.90115000000003</v>
      </c>
    </row>
    <row r="30" spans="1:60" ht="20.45" customHeight="1">
      <c r="A30" s="95">
        <v>28</v>
      </c>
      <c r="B30" s="96" t="s">
        <v>119</v>
      </c>
      <c r="C30" s="92"/>
      <c r="D30" s="92"/>
      <c r="E30" s="92"/>
      <c r="F30" s="92"/>
      <c r="G30" s="92"/>
      <c r="H30" s="92"/>
      <c r="I30" s="92"/>
      <c r="J30" s="92"/>
      <c r="K30" s="92">
        <v>55.085000000000001</v>
      </c>
      <c r="L30" s="92">
        <v>1203.3589999999999</v>
      </c>
      <c r="M30" s="92"/>
      <c r="N30" s="92"/>
      <c r="O30" s="92"/>
      <c r="P30" s="92"/>
      <c r="Q30" s="92"/>
      <c r="R30" s="92"/>
      <c r="S30" s="92">
        <v>18.838999999999999</v>
      </c>
      <c r="T30" s="92">
        <v>210.626</v>
      </c>
      <c r="U30" s="92">
        <v>12.321</v>
      </c>
      <c r="V30" s="92">
        <v>221.447</v>
      </c>
      <c r="W30" s="92"/>
      <c r="X30" s="92"/>
      <c r="Y30" s="92">
        <v>10.346</v>
      </c>
      <c r="Z30" s="92">
        <v>73.944999999999993</v>
      </c>
      <c r="AA30" s="92">
        <v>113.896</v>
      </c>
      <c r="AB30" s="92">
        <v>944.11500000000001</v>
      </c>
      <c r="AC30" s="92"/>
      <c r="AD30" s="92"/>
      <c r="AE30" s="92">
        <v>13.247999999999999</v>
      </c>
      <c r="AF30" s="92">
        <v>307.38799999999998</v>
      </c>
      <c r="AG30" s="92"/>
      <c r="AH30" s="92"/>
      <c r="AI30" s="97">
        <v>20.407</v>
      </c>
      <c r="AJ30" s="97">
        <v>134.471</v>
      </c>
      <c r="AK30" s="92"/>
      <c r="AL30" s="92"/>
      <c r="AM30" s="92"/>
      <c r="AN30" s="92"/>
      <c r="AO30" s="92"/>
      <c r="AP30" s="92"/>
      <c r="AQ30" s="92">
        <v>11.965</v>
      </c>
      <c r="AR30" s="92">
        <v>357.18</v>
      </c>
      <c r="AS30" s="92"/>
      <c r="AT30" s="92"/>
      <c r="AU30" s="92"/>
      <c r="AV30" s="92"/>
      <c r="AW30" s="92">
        <v>4.5019999999999998</v>
      </c>
      <c r="AX30" s="92">
        <v>47.487000000000002</v>
      </c>
      <c r="AY30" s="92"/>
      <c r="AZ30" s="92"/>
      <c r="BA30" s="92"/>
      <c r="BB30" s="92"/>
      <c r="BC30" s="92">
        <v>16.335000000000001</v>
      </c>
      <c r="BD30" s="92">
        <v>232.559</v>
      </c>
      <c r="BE30" s="92">
        <v>13.047999999999998</v>
      </c>
      <c r="BF30" s="92">
        <v>131.37099999999998</v>
      </c>
      <c r="BG30" s="97">
        <v>289.99200000000002</v>
      </c>
      <c r="BH30" s="97">
        <v>3863.9479999999999</v>
      </c>
    </row>
    <row r="31" spans="1:60" ht="20.45" customHeight="1">
      <c r="A31" s="95">
        <v>29</v>
      </c>
      <c r="B31" s="96" t="s">
        <v>185</v>
      </c>
      <c r="C31" s="92">
        <v>0</v>
      </c>
      <c r="D31" s="92">
        <v>0</v>
      </c>
      <c r="E31" s="92">
        <v>1.7999999999999999E-2</v>
      </c>
      <c r="F31" s="92">
        <v>0.08</v>
      </c>
      <c r="G31" s="92">
        <v>0</v>
      </c>
      <c r="H31" s="92">
        <v>0</v>
      </c>
      <c r="I31" s="92">
        <v>0</v>
      </c>
      <c r="J31" s="92">
        <v>0</v>
      </c>
      <c r="K31" s="92">
        <v>4.4260000000000002</v>
      </c>
      <c r="L31" s="92">
        <v>54.081000000000003</v>
      </c>
      <c r="M31" s="92">
        <v>0</v>
      </c>
      <c r="N31" s="92">
        <v>0</v>
      </c>
      <c r="O31" s="92">
        <v>0.03</v>
      </c>
      <c r="P31" s="92">
        <v>0.11</v>
      </c>
      <c r="Q31" s="92">
        <v>0</v>
      </c>
      <c r="R31" s="92">
        <v>0</v>
      </c>
      <c r="S31" s="92">
        <v>0.21000000000000002</v>
      </c>
      <c r="T31" s="92">
        <v>2.2229999999999999</v>
      </c>
      <c r="U31" s="92">
        <v>2E-3</v>
      </c>
      <c r="V31" s="92">
        <v>0.03</v>
      </c>
      <c r="W31" s="92">
        <v>0</v>
      </c>
      <c r="X31" s="92">
        <v>0</v>
      </c>
      <c r="Y31" s="92">
        <v>0</v>
      </c>
      <c r="Z31" s="92">
        <v>0</v>
      </c>
      <c r="AA31" s="92">
        <v>5.6059999999999999</v>
      </c>
      <c r="AB31" s="92">
        <v>16.891999999999999</v>
      </c>
      <c r="AC31" s="92">
        <v>2.7E-2</v>
      </c>
      <c r="AD31" s="92">
        <v>0.34699999999999998</v>
      </c>
      <c r="AE31" s="92">
        <v>0.17200000000000001</v>
      </c>
      <c r="AF31" s="92">
        <v>2.74</v>
      </c>
      <c r="AG31" s="92">
        <v>0</v>
      </c>
      <c r="AH31" s="92">
        <v>0</v>
      </c>
      <c r="AI31" s="97">
        <v>0.193</v>
      </c>
      <c r="AJ31" s="97">
        <v>1.073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0.44000000000000006</v>
      </c>
      <c r="AR31" s="92">
        <v>5.9640000000000004</v>
      </c>
      <c r="AS31" s="92">
        <v>0</v>
      </c>
      <c r="AT31" s="92">
        <v>0</v>
      </c>
      <c r="AU31" s="92">
        <v>3.0000000000000001E-3</v>
      </c>
      <c r="AV31" s="92">
        <v>0</v>
      </c>
      <c r="AW31" s="92">
        <v>0.34299999999999997</v>
      </c>
      <c r="AX31" s="92">
        <v>2.355</v>
      </c>
      <c r="AY31" s="92">
        <v>0</v>
      </c>
      <c r="AZ31" s="92">
        <v>0</v>
      </c>
      <c r="BA31" s="92">
        <v>0</v>
      </c>
      <c r="BB31" s="92">
        <v>0</v>
      </c>
      <c r="BC31" s="92">
        <v>0.05</v>
      </c>
      <c r="BD31" s="92">
        <v>1</v>
      </c>
      <c r="BE31" s="92">
        <v>4.351</v>
      </c>
      <c r="BF31" s="92">
        <v>34.968000000000004</v>
      </c>
      <c r="BG31" s="97">
        <v>15.870999999999999</v>
      </c>
      <c r="BH31" s="97">
        <v>121.86299999999999</v>
      </c>
    </row>
    <row r="32" spans="1:60" ht="20.45" customHeight="1">
      <c r="A32" s="112"/>
      <c r="B32" s="96" t="s">
        <v>89</v>
      </c>
      <c r="C32" s="113">
        <v>10.165999999999999</v>
      </c>
      <c r="D32" s="113">
        <v>10.881</v>
      </c>
      <c r="E32" s="113">
        <v>104.22533999999999</v>
      </c>
      <c r="F32" s="113">
        <v>1272.1726099999998</v>
      </c>
      <c r="G32" s="113">
        <v>312.69574999999998</v>
      </c>
      <c r="H32" s="113">
        <v>2437.2856200000001</v>
      </c>
      <c r="I32" s="113">
        <v>8.4809999999999999</v>
      </c>
      <c r="J32" s="113">
        <v>81.962000000000003</v>
      </c>
      <c r="K32" s="113">
        <v>959.26063000000022</v>
      </c>
      <c r="L32" s="113">
        <v>35130.894499999988</v>
      </c>
      <c r="M32" s="113">
        <v>53.225980000000007</v>
      </c>
      <c r="N32" s="113">
        <v>585.5537700000001</v>
      </c>
      <c r="O32" s="113">
        <v>46.532829999999997</v>
      </c>
      <c r="P32" s="113">
        <v>401.92029000000002</v>
      </c>
      <c r="Q32" s="113">
        <v>161.57679000000002</v>
      </c>
      <c r="R32" s="113">
        <v>3445.2397300000007</v>
      </c>
      <c r="S32" s="113">
        <v>314.73939000000001</v>
      </c>
      <c r="T32" s="113">
        <v>4915.8756299999995</v>
      </c>
      <c r="U32" s="113">
        <v>188.33793000000003</v>
      </c>
      <c r="V32" s="113">
        <v>1945.9644499999997</v>
      </c>
      <c r="W32" s="113">
        <v>4.8769999999999998</v>
      </c>
      <c r="X32" s="113">
        <v>16.515999999999998</v>
      </c>
      <c r="Y32" s="113">
        <v>98.577529999999996</v>
      </c>
      <c r="Z32" s="113">
        <v>727.78233999999998</v>
      </c>
      <c r="AA32" s="113">
        <v>2349.5085899999999</v>
      </c>
      <c r="AB32" s="113">
        <v>21011.122950000001</v>
      </c>
      <c r="AC32" s="113">
        <v>70.122209999999995</v>
      </c>
      <c r="AD32" s="113">
        <v>1544.0178699999999</v>
      </c>
      <c r="AE32" s="113">
        <v>148.04217</v>
      </c>
      <c r="AF32" s="113">
        <v>5884.8474399999977</v>
      </c>
      <c r="AG32" s="113">
        <v>11.560350000000001</v>
      </c>
      <c r="AH32" s="113">
        <v>57.641999999999996</v>
      </c>
      <c r="AI32" s="113">
        <v>1105.7425499999995</v>
      </c>
      <c r="AJ32" s="113">
        <v>14849.775599999999</v>
      </c>
      <c r="AK32" s="113">
        <v>18.411029999999997</v>
      </c>
      <c r="AL32" s="113">
        <v>109.82822</v>
      </c>
      <c r="AM32" s="113">
        <v>42.816319999999997</v>
      </c>
      <c r="AN32" s="113">
        <v>295.63977</v>
      </c>
      <c r="AO32" s="113">
        <v>1.46</v>
      </c>
      <c r="AP32" s="113">
        <v>0.38900000000000001</v>
      </c>
      <c r="AQ32" s="113">
        <v>105.05413000000001</v>
      </c>
      <c r="AR32" s="113">
        <v>1740.7229599999998</v>
      </c>
      <c r="AS32" s="113">
        <v>23.472909999999999</v>
      </c>
      <c r="AT32" s="113">
        <v>83.589269999999999</v>
      </c>
      <c r="AU32" s="113">
        <v>278.23528999999996</v>
      </c>
      <c r="AV32" s="113">
        <v>3187.578</v>
      </c>
      <c r="AW32" s="113">
        <v>77.86497</v>
      </c>
      <c r="AX32" s="113">
        <v>862.81035999999983</v>
      </c>
      <c r="AY32" s="113">
        <v>2.5731599999999997</v>
      </c>
      <c r="AZ32" s="113">
        <v>13.605960000000001</v>
      </c>
      <c r="BA32" s="113">
        <v>108.53516999999999</v>
      </c>
      <c r="BB32" s="113">
        <v>282.21146000000005</v>
      </c>
      <c r="BC32" s="113">
        <v>122.56345</v>
      </c>
      <c r="BD32" s="113">
        <v>3460.59177</v>
      </c>
      <c r="BE32" s="113">
        <v>290.45329000000004</v>
      </c>
      <c r="BF32" s="113">
        <v>2745.65933</v>
      </c>
      <c r="BG32" s="113">
        <v>7019.1117600000016</v>
      </c>
      <c r="BH32" s="113">
        <v>107102.07990000001</v>
      </c>
    </row>
    <row r="34" spans="57:57">
      <c r="BE34" s="115"/>
    </row>
  </sheetData>
  <mergeCells count="31">
    <mergeCell ref="AG1:AH1"/>
    <mergeCell ref="AE1:AF1"/>
    <mergeCell ref="AW1:AX1"/>
    <mergeCell ref="G1:H1"/>
    <mergeCell ref="AU1:AV1"/>
    <mergeCell ref="AC1:AD1"/>
    <mergeCell ref="BG1:BH1"/>
    <mergeCell ref="AI1:AJ1"/>
    <mergeCell ref="BA1:BB1"/>
    <mergeCell ref="BE1:BF1"/>
    <mergeCell ref="AK1:AL1"/>
    <mergeCell ref="AY1:AZ1"/>
    <mergeCell ref="AQ1:AR1"/>
    <mergeCell ref="AM1:AN1"/>
    <mergeCell ref="AO1:AP1"/>
    <mergeCell ref="B1:B2"/>
    <mergeCell ref="AS1:AT1"/>
    <mergeCell ref="BC1:BD1"/>
    <mergeCell ref="A1:A2"/>
    <mergeCell ref="I1:J1"/>
    <mergeCell ref="W1:X1"/>
    <mergeCell ref="Q1:R1"/>
    <mergeCell ref="S1:T1"/>
    <mergeCell ref="E1:F1"/>
    <mergeCell ref="U1:V1"/>
    <mergeCell ref="C1:D1"/>
    <mergeCell ref="K1:L1"/>
    <mergeCell ref="O1:P1"/>
    <mergeCell ref="Y1:Z1"/>
    <mergeCell ref="AA1:AB1"/>
    <mergeCell ref="M1:N1"/>
  </mergeCells>
  <pageMargins left="0.35" right="0.45" top="1.5349999999999999" bottom="0.34" header="0.78" footer="0.2"/>
  <pageSetup scale="60" orientation="landscape" r:id="rId1"/>
  <headerFooter>
    <oddHeader>&amp;C&amp;"-,Bold"&amp;20Second Advance Estimates of 2021-22
Area and Production of Fruit Crops &amp;R&amp;"-,Bold"&amp;16Area in '000 Ha 
Production in '000 Tonnes</oddHeader>
    <oddFooter>Page &amp;P of &amp;N</oddFooter>
  </headerFooter>
  <colBreaks count="3" manualBreakCount="3">
    <brk id="16" max="31" man="1"/>
    <brk id="30" max="31" man="1"/>
    <brk id="44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44"/>
  <sheetViews>
    <sheetView topLeftCell="A4" zoomScale="85" zoomScaleNormal="85" workbookViewId="0">
      <selection activeCell="C2" sqref="C1:C1048576"/>
    </sheetView>
  </sheetViews>
  <sheetFormatPr defaultColWidth="9.5" defaultRowHeight="17.25" customHeight="1"/>
  <cols>
    <col min="1" max="1" width="9.25" style="118" customWidth="1"/>
    <col min="2" max="2" width="30.75" style="118" customWidth="1"/>
    <col min="3" max="12" width="15.375" style="118" customWidth="1"/>
    <col min="13" max="16384" width="9.5" style="118"/>
  </cols>
  <sheetData>
    <row r="1" spans="1:12" ht="46.15" customHeight="1">
      <c r="A1" s="116" t="s">
        <v>219</v>
      </c>
      <c r="B1" s="117" t="s">
        <v>84</v>
      </c>
      <c r="C1" s="368" t="s">
        <v>159</v>
      </c>
      <c r="D1" s="368"/>
      <c r="E1" s="370" t="s">
        <v>160</v>
      </c>
      <c r="F1" s="370"/>
      <c r="G1" s="370" t="s">
        <v>161</v>
      </c>
      <c r="H1" s="370"/>
      <c r="I1" s="368" t="s">
        <v>162</v>
      </c>
      <c r="J1" s="368"/>
      <c r="K1" s="368" t="s">
        <v>89</v>
      </c>
      <c r="L1" s="368"/>
    </row>
    <row r="2" spans="1:12" ht="22.5" customHeight="1">
      <c r="A2" s="119"/>
      <c r="B2" s="120"/>
      <c r="C2" s="121" t="s">
        <v>90</v>
      </c>
      <c r="D2" s="121" t="s">
        <v>91</v>
      </c>
      <c r="E2" s="121" t="s">
        <v>90</v>
      </c>
      <c r="F2" s="121" t="s">
        <v>91</v>
      </c>
      <c r="G2" s="121" t="s">
        <v>90</v>
      </c>
      <c r="H2" s="121" t="s">
        <v>91</v>
      </c>
      <c r="I2" s="121" t="s">
        <v>90</v>
      </c>
      <c r="J2" s="121" t="s">
        <v>91</v>
      </c>
      <c r="K2" s="121" t="s">
        <v>90</v>
      </c>
      <c r="L2" s="121" t="s">
        <v>91</v>
      </c>
    </row>
    <row r="3" spans="1:12" ht="21.75" customHeight="1">
      <c r="A3" s="122">
        <v>1</v>
      </c>
      <c r="B3" s="96" t="s">
        <v>92</v>
      </c>
      <c r="C3" s="119">
        <v>41.857999999999997</v>
      </c>
      <c r="D3" s="119">
        <v>727.57399999999996</v>
      </c>
      <c r="E3" s="119"/>
      <c r="F3" s="119"/>
      <c r="G3" s="119">
        <v>118.206</v>
      </c>
      <c r="H3" s="119">
        <v>2955.1660000000002</v>
      </c>
      <c r="I3" s="119"/>
      <c r="J3" s="119"/>
      <c r="K3" s="123">
        <f>C3+E3+G3+I3</f>
        <v>160.06399999999999</v>
      </c>
      <c r="L3" s="123">
        <f>D3+F3+H3+J3</f>
        <v>3682.7400000000002</v>
      </c>
    </row>
    <row r="4" spans="1:12" ht="21.75" customHeight="1">
      <c r="A4" s="122">
        <v>2</v>
      </c>
      <c r="B4" s="99" t="s">
        <v>93</v>
      </c>
      <c r="C4" s="119">
        <v>0.183</v>
      </c>
      <c r="D4" s="119">
        <v>0.123</v>
      </c>
      <c r="E4" s="119">
        <v>32.735999999999997</v>
      </c>
      <c r="F4" s="119">
        <v>67.741</v>
      </c>
      <c r="G4" s="119"/>
      <c r="H4" s="119"/>
      <c r="I4" s="119"/>
      <c r="J4" s="119"/>
      <c r="K4" s="123">
        <f t="shared" ref="K4:K31" si="0">C4+E4+G4+I4</f>
        <v>32.918999999999997</v>
      </c>
      <c r="L4" s="123">
        <f t="shared" ref="L4:L31" si="1">D4+F4+H4+J4</f>
        <v>67.864000000000004</v>
      </c>
    </row>
    <row r="5" spans="1:12" ht="21.75" customHeight="1">
      <c r="A5" s="122">
        <v>3</v>
      </c>
      <c r="B5" s="96" t="s">
        <v>94</v>
      </c>
      <c r="C5" s="119">
        <v>15.898999999999999</v>
      </c>
      <c r="D5" s="119">
        <v>157.32</v>
      </c>
      <c r="E5" s="119">
        <v>14.926</v>
      </c>
      <c r="F5" s="119">
        <v>209.33699999999999</v>
      </c>
      <c r="G5" s="119">
        <v>0.185</v>
      </c>
      <c r="H5" s="119">
        <v>2.9060000000000001</v>
      </c>
      <c r="I5" s="119"/>
      <c r="J5" s="119"/>
      <c r="K5" s="123">
        <f t="shared" si="0"/>
        <v>31.009999999999998</v>
      </c>
      <c r="L5" s="123">
        <f t="shared" si="1"/>
        <v>369.56299999999999</v>
      </c>
    </row>
    <row r="6" spans="1:12" ht="21.75" customHeight="1">
      <c r="A6" s="122">
        <v>4</v>
      </c>
      <c r="B6" s="96" t="s">
        <v>95</v>
      </c>
      <c r="C6" s="119">
        <v>19.312000000000001</v>
      </c>
      <c r="D6" s="119">
        <v>114.958</v>
      </c>
      <c r="E6" s="119"/>
      <c r="F6" s="119"/>
      <c r="G6" s="119">
        <v>0.48099999999999998</v>
      </c>
      <c r="H6" s="119">
        <v>4.6849999999999996</v>
      </c>
      <c r="I6" s="119">
        <v>29.141999999999999</v>
      </c>
      <c r="J6" s="119">
        <v>258.94099999999997</v>
      </c>
      <c r="K6" s="123">
        <f t="shared" si="0"/>
        <v>48.935000000000002</v>
      </c>
      <c r="L6" s="123">
        <f t="shared" si="1"/>
        <v>378.58399999999995</v>
      </c>
    </row>
    <row r="7" spans="1:12" ht="21.75" customHeight="1">
      <c r="A7" s="122">
        <v>5</v>
      </c>
      <c r="B7" s="96" t="s">
        <v>96</v>
      </c>
      <c r="C7" s="119">
        <v>11.4695</v>
      </c>
      <c r="D7" s="119">
        <v>85.077269999999999</v>
      </c>
      <c r="E7" s="119">
        <v>2.4E-2</v>
      </c>
      <c r="F7" s="119">
        <v>0.875</v>
      </c>
      <c r="G7" s="119">
        <v>0.50700000000000001</v>
      </c>
      <c r="H7" s="119">
        <v>3.06176</v>
      </c>
      <c r="I7" s="119">
        <v>2.4020000000000001</v>
      </c>
      <c r="J7" s="119">
        <v>33.341999999999999</v>
      </c>
      <c r="K7" s="123">
        <f t="shared" si="0"/>
        <v>14.4025</v>
      </c>
      <c r="L7" s="123">
        <f t="shared" si="1"/>
        <v>122.35603</v>
      </c>
    </row>
    <row r="8" spans="1:12" ht="21.75" customHeight="1">
      <c r="A8" s="122">
        <v>6</v>
      </c>
      <c r="B8" s="96" t="s">
        <v>97</v>
      </c>
      <c r="C8" s="119">
        <v>48.503</v>
      </c>
      <c r="D8" s="119">
        <v>625.83299999999997</v>
      </c>
      <c r="E8" s="119"/>
      <c r="F8" s="119"/>
      <c r="G8" s="119"/>
      <c r="H8" s="119"/>
      <c r="I8" s="119"/>
      <c r="J8" s="119"/>
      <c r="K8" s="123">
        <f t="shared" si="0"/>
        <v>48.503</v>
      </c>
      <c r="L8" s="123">
        <f t="shared" si="1"/>
        <v>625.83299999999997</v>
      </c>
    </row>
    <row r="9" spans="1:12" ht="21.75" customHeight="1">
      <c r="A9" s="122">
        <v>7</v>
      </c>
      <c r="B9" s="96" t="s">
        <v>98</v>
      </c>
      <c r="C9" s="119"/>
      <c r="D9" s="119"/>
      <c r="E9" s="119">
        <v>24.437000000000001</v>
      </c>
      <c r="F9" s="119">
        <v>570.88300000000004</v>
      </c>
      <c r="G9" s="119"/>
      <c r="H9" s="119"/>
      <c r="I9" s="119"/>
      <c r="J9" s="119"/>
      <c r="K9" s="123">
        <f t="shared" si="0"/>
        <v>24.437000000000001</v>
      </c>
      <c r="L9" s="123">
        <f t="shared" si="1"/>
        <v>570.88300000000004</v>
      </c>
    </row>
    <row r="10" spans="1:12" ht="21.75" customHeight="1">
      <c r="A10" s="122">
        <v>8</v>
      </c>
      <c r="B10" s="96" t="s">
        <v>99</v>
      </c>
      <c r="C10" s="119">
        <v>12.281000000000001</v>
      </c>
      <c r="D10" s="119">
        <v>11.473000000000001</v>
      </c>
      <c r="E10" s="119">
        <v>8.7959999999999994</v>
      </c>
      <c r="F10" s="119">
        <v>17.817</v>
      </c>
      <c r="G10" s="119">
        <v>2.016</v>
      </c>
      <c r="H10" s="119">
        <v>3.355</v>
      </c>
      <c r="I10" s="119">
        <v>2.5609999999999999</v>
      </c>
      <c r="J10" s="119">
        <v>4.0819999999999999</v>
      </c>
      <c r="K10" s="123">
        <f t="shared" si="0"/>
        <v>25.653999999999996</v>
      </c>
      <c r="L10" s="123">
        <f t="shared" si="1"/>
        <v>36.726999999999997</v>
      </c>
    </row>
    <row r="11" spans="1:12" ht="21.75" customHeight="1">
      <c r="A11" s="122">
        <v>9</v>
      </c>
      <c r="B11" s="96" t="s">
        <v>100</v>
      </c>
      <c r="C11" s="119">
        <v>5.3140000000000001</v>
      </c>
      <c r="D11" s="119">
        <v>11.353</v>
      </c>
      <c r="E11" s="119">
        <v>3.3279999999999998</v>
      </c>
      <c r="F11" s="119">
        <v>7.0229999999999997</v>
      </c>
      <c r="G11" s="119">
        <v>3.274</v>
      </c>
      <c r="H11" s="119">
        <v>6.1529999999999996</v>
      </c>
      <c r="I11" s="119">
        <v>2.4540000000000002</v>
      </c>
      <c r="J11" s="119">
        <v>6.6689999999999996</v>
      </c>
      <c r="K11" s="123">
        <f t="shared" si="0"/>
        <v>14.370000000000001</v>
      </c>
      <c r="L11" s="123">
        <f t="shared" si="1"/>
        <v>31.197999999999997</v>
      </c>
    </row>
    <row r="12" spans="1:12" ht="21.75" customHeight="1">
      <c r="A12" s="122">
        <v>10</v>
      </c>
      <c r="B12" s="96" t="s">
        <v>101</v>
      </c>
      <c r="C12" s="119">
        <v>7.0270000000000001</v>
      </c>
      <c r="D12" s="119">
        <v>89.153000000000006</v>
      </c>
      <c r="E12" s="119"/>
      <c r="F12" s="119"/>
      <c r="G12" s="119"/>
      <c r="H12" s="119"/>
      <c r="I12" s="119"/>
      <c r="J12" s="119"/>
      <c r="K12" s="123">
        <f t="shared" si="0"/>
        <v>7.0270000000000001</v>
      </c>
      <c r="L12" s="123">
        <f t="shared" si="1"/>
        <v>89.153000000000006</v>
      </c>
    </row>
    <row r="13" spans="1:12" ht="21.75" customHeight="1">
      <c r="A13" s="122">
        <v>11</v>
      </c>
      <c r="B13" s="96" t="s">
        <v>129</v>
      </c>
      <c r="C13" s="119">
        <v>13.465</v>
      </c>
      <c r="D13" s="119">
        <v>313.91399999999999</v>
      </c>
      <c r="E13" s="119">
        <v>7.3490000000000002</v>
      </c>
      <c r="F13" s="119">
        <v>170.691</v>
      </c>
      <c r="G13" s="119">
        <v>0.84699999999999998</v>
      </c>
      <c r="H13" s="119">
        <v>14.763999999999999</v>
      </c>
      <c r="I13" s="119">
        <v>0.20300000000000001</v>
      </c>
      <c r="J13" s="119">
        <v>3.1179999999999999</v>
      </c>
      <c r="K13" s="123">
        <f t="shared" si="0"/>
        <v>21.864000000000001</v>
      </c>
      <c r="L13" s="123">
        <f t="shared" si="1"/>
        <v>502.48700000000002</v>
      </c>
    </row>
    <row r="14" spans="1:12" ht="21.75" customHeight="1">
      <c r="A14" s="122">
        <v>12</v>
      </c>
      <c r="B14" s="96" t="s">
        <v>103</v>
      </c>
      <c r="C14" s="119">
        <v>0.36399999999999999</v>
      </c>
      <c r="D14" s="119">
        <v>1.351</v>
      </c>
      <c r="E14" s="119">
        <v>4.8000000000000001E-2</v>
      </c>
      <c r="F14" s="119">
        <v>3.6549999999999998</v>
      </c>
      <c r="G14" s="119">
        <v>1E-3</v>
      </c>
      <c r="H14" s="119">
        <v>2E-3</v>
      </c>
      <c r="I14" s="119">
        <v>1.7000000000000001E-2</v>
      </c>
      <c r="J14" s="119">
        <v>1.7000000000000001E-2</v>
      </c>
      <c r="K14" s="123">
        <f t="shared" si="0"/>
        <v>0.43</v>
      </c>
      <c r="L14" s="123">
        <f t="shared" si="1"/>
        <v>5.0250000000000004</v>
      </c>
    </row>
    <row r="15" spans="1:12" ht="21.75" customHeight="1">
      <c r="A15" s="122">
        <v>13</v>
      </c>
      <c r="B15" s="96" t="s">
        <v>104</v>
      </c>
      <c r="C15" s="119">
        <v>24.68</v>
      </c>
      <c r="D15" s="119">
        <v>372.77</v>
      </c>
      <c r="E15" s="119">
        <v>131.86000000000001</v>
      </c>
      <c r="F15" s="119">
        <v>2226.38</v>
      </c>
      <c r="G15" s="119">
        <v>7.09</v>
      </c>
      <c r="H15" s="119">
        <v>121.17</v>
      </c>
      <c r="I15" s="119">
        <v>2.0699999999999998</v>
      </c>
      <c r="J15" s="119">
        <v>17.52</v>
      </c>
      <c r="K15" s="123">
        <f t="shared" si="0"/>
        <v>165.70000000000002</v>
      </c>
      <c r="L15" s="123">
        <f t="shared" si="1"/>
        <v>2737.84</v>
      </c>
    </row>
    <row r="16" spans="1:12" ht="21.75" customHeight="1">
      <c r="A16" s="122">
        <v>14</v>
      </c>
      <c r="B16" s="96" t="s">
        <v>105</v>
      </c>
      <c r="C16" s="119">
        <v>32.271999999999998</v>
      </c>
      <c r="D16" s="119">
        <v>361.94600000000003</v>
      </c>
      <c r="E16" s="119">
        <v>119.57299999999999</v>
      </c>
      <c r="F16" s="119">
        <v>1021.203</v>
      </c>
      <c r="G16" s="119">
        <v>64.831999999999994</v>
      </c>
      <c r="H16" s="119">
        <v>575.13599999999997</v>
      </c>
      <c r="I16" s="119"/>
      <c r="J16" s="119"/>
      <c r="K16" s="123">
        <f t="shared" si="0"/>
        <v>216.67699999999999</v>
      </c>
      <c r="L16" s="123">
        <f t="shared" si="1"/>
        <v>1958.2849999999999</v>
      </c>
    </row>
    <row r="17" spans="1:12" ht="21.75" customHeight="1">
      <c r="A17" s="122">
        <v>15</v>
      </c>
      <c r="B17" s="108" t="s">
        <v>106</v>
      </c>
      <c r="C17" s="119">
        <v>5.9530000000000003</v>
      </c>
      <c r="D17" s="119">
        <v>63.811</v>
      </c>
      <c r="E17" s="119">
        <v>4.8289999999999997</v>
      </c>
      <c r="F17" s="119">
        <v>47.529000000000003</v>
      </c>
      <c r="G17" s="119">
        <v>3.0000000000000001E-3</v>
      </c>
      <c r="H17" s="119">
        <v>2.1999999999999999E-2</v>
      </c>
      <c r="I17" s="119"/>
      <c r="J17" s="119"/>
      <c r="K17" s="123">
        <f t="shared" si="0"/>
        <v>10.785</v>
      </c>
      <c r="L17" s="123">
        <f t="shared" si="1"/>
        <v>111.36200000000001</v>
      </c>
    </row>
    <row r="18" spans="1:12" ht="21.75" customHeight="1">
      <c r="A18" s="122">
        <v>16</v>
      </c>
      <c r="B18" s="96" t="s">
        <v>107</v>
      </c>
      <c r="C18" s="119">
        <v>1.216</v>
      </c>
      <c r="D18" s="119">
        <v>5.0069999999999997</v>
      </c>
      <c r="E18" s="119">
        <v>9.1690000000000005</v>
      </c>
      <c r="F18" s="119">
        <v>44.246000000000002</v>
      </c>
      <c r="G18" s="119"/>
      <c r="H18" s="119"/>
      <c r="I18" s="119">
        <v>2.266</v>
      </c>
      <c r="J18" s="119">
        <v>6.6139999999999999</v>
      </c>
      <c r="K18" s="123">
        <f t="shared" si="0"/>
        <v>12.651</v>
      </c>
      <c r="L18" s="123">
        <f t="shared" si="1"/>
        <v>55.866999999999997</v>
      </c>
    </row>
    <row r="19" spans="1:12" ht="21.75" customHeight="1">
      <c r="A19" s="122">
        <v>17</v>
      </c>
      <c r="B19" s="96" t="s">
        <v>108</v>
      </c>
      <c r="C19" s="119">
        <v>8.1199999999999992</v>
      </c>
      <c r="D19" s="119">
        <v>25.898</v>
      </c>
      <c r="E19" s="119">
        <v>16.567</v>
      </c>
      <c r="F19" s="119">
        <v>54.167999999999999</v>
      </c>
      <c r="G19" s="119">
        <v>1.59</v>
      </c>
      <c r="H19" s="119">
        <v>4.944</v>
      </c>
      <c r="I19" s="119">
        <v>2.0659999999999998</v>
      </c>
      <c r="J19" s="119">
        <v>6.0229999999999997</v>
      </c>
      <c r="K19" s="123">
        <f t="shared" si="0"/>
        <v>28.342999999999996</v>
      </c>
      <c r="L19" s="123">
        <f t="shared" si="1"/>
        <v>91.033000000000001</v>
      </c>
    </row>
    <row r="20" spans="1:12" ht="21.75" customHeight="1">
      <c r="A20" s="122">
        <v>18</v>
      </c>
      <c r="B20" s="99" t="s">
        <v>109</v>
      </c>
      <c r="C20" s="119">
        <v>0.77100000000000002</v>
      </c>
      <c r="D20" s="119">
        <v>6.2</v>
      </c>
      <c r="E20" s="119">
        <v>5.4509999999999996</v>
      </c>
      <c r="F20" s="119">
        <v>42.857999999999997</v>
      </c>
      <c r="G20" s="119">
        <v>0.22500000000000001</v>
      </c>
      <c r="H20" s="119">
        <v>1.845</v>
      </c>
      <c r="I20" s="119">
        <v>0.106</v>
      </c>
      <c r="J20" s="119">
        <v>0.97099999999999997</v>
      </c>
      <c r="K20" s="123">
        <f t="shared" si="0"/>
        <v>6.552999999999999</v>
      </c>
      <c r="L20" s="123">
        <f t="shared" si="1"/>
        <v>51.873999999999995</v>
      </c>
    </row>
    <row r="21" spans="1:12" ht="21.75" customHeight="1">
      <c r="A21" s="122">
        <v>19</v>
      </c>
      <c r="B21" s="96" t="s">
        <v>110</v>
      </c>
      <c r="C21" s="119">
        <v>25.72</v>
      </c>
      <c r="D21" s="119">
        <v>288.04000000000002</v>
      </c>
      <c r="E21" s="119"/>
      <c r="F21" s="119"/>
      <c r="G21" s="119"/>
      <c r="H21" s="119"/>
      <c r="I21" s="119">
        <v>1.58</v>
      </c>
      <c r="J21" s="119">
        <v>14.81</v>
      </c>
      <c r="K21" s="123">
        <f t="shared" si="0"/>
        <v>27.299999999999997</v>
      </c>
      <c r="L21" s="123">
        <f t="shared" si="1"/>
        <v>302.85000000000002</v>
      </c>
    </row>
    <row r="22" spans="1:12" ht="21.75" customHeight="1">
      <c r="A22" s="122">
        <v>20</v>
      </c>
      <c r="B22" s="96" t="s">
        <v>111</v>
      </c>
      <c r="C22" s="119">
        <v>2.8540000000000001</v>
      </c>
      <c r="D22" s="119">
        <v>23.475999999999999</v>
      </c>
      <c r="E22" s="119">
        <v>44.859000000000002</v>
      </c>
      <c r="F22" s="119">
        <v>1184.098</v>
      </c>
      <c r="G22" s="119">
        <v>2.806</v>
      </c>
      <c r="H22" s="119">
        <v>24.376000000000001</v>
      </c>
      <c r="I22" s="119"/>
      <c r="J22" s="119"/>
      <c r="K22" s="123">
        <f t="shared" si="0"/>
        <v>50.518999999999998</v>
      </c>
      <c r="L22" s="123">
        <f t="shared" si="1"/>
        <v>1231.95</v>
      </c>
    </row>
    <row r="23" spans="1:12" ht="21.75" customHeight="1">
      <c r="A23" s="122">
        <v>21</v>
      </c>
      <c r="B23" s="96" t="s">
        <v>112</v>
      </c>
      <c r="C23" s="119">
        <v>3.1739999999999999</v>
      </c>
      <c r="D23" s="119">
        <v>20.861000000000001</v>
      </c>
      <c r="E23" s="119">
        <v>38.57</v>
      </c>
      <c r="F23" s="119">
        <v>649.13</v>
      </c>
      <c r="G23" s="119">
        <v>0.27600000000000002</v>
      </c>
      <c r="H23" s="119">
        <v>4.5220000000000002</v>
      </c>
      <c r="I23" s="119">
        <v>0.06</v>
      </c>
      <c r="J23" s="119">
        <v>0.93</v>
      </c>
      <c r="K23" s="123">
        <f t="shared" si="0"/>
        <v>42.080000000000005</v>
      </c>
      <c r="L23" s="123">
        <f t="shared" si="1"/>
        <v>675.44299999999998</v>
      </c>
    </row>
    <row r="24" spans="1:12" ht="21.75" customHeight="1">
      <c r="A24" s="122">
        <v>22</v>
      </c>
      <c r="B24" s="96" t="s">
        <v>113</v>
      </c>
      <c r="C24" s="119"/>
      <c r="D24" s="119"/>
      <c r="E24" s="119">
        <v>13.263999999999999</v>
      </c>
      <c r="F24" s="119">
        <v>26.678000000000001</v>
      </c>
      <c r="G24" s="119"/>
      <c r="H24" s="119"/>
      <c r="I24" s="119"/>
      <c r="J24" s="119"/>
      <c r="K24" s="123">
        <f t="shared" si="0"/>
        <v>13.263999999999999</v>
      </c>
      <c r="L24" s="123">
        <f t="shared" si="1"/>
        <v>26.678000000000001</v>
      </c>
    </row>
    <row r="25" spans="1:12" ht="21.75" customHeight="1">
      <c r="A25" s="122">
        <v>23</v>
      </c>
      <c r="B25" s="96" t="s">
        <v>114</v>
      </c>
      <c r="C25" s="119">
        <v>12.61842</v>
      </c>
      <c r="D25" s="119">
        <v>180.47666000000001</v>
      </c>
      <c r="E25" s="119">
        <v>0.81788000000000005</v>
      </c>
      <c r="F25" s="119">
        <v>12.94115</v>
      </c>
      <c r="G25" s="119">
        <v>9.4839999999999994E-2</v>
      </c>
      <c r="H25" s="119">
        <v>0.96011999999999997</v>
      </c>
      <c r="I25" s="119"/>
      <c r="J25" s="119"/>
      <c r="K25" s="123">
        <f t="shared" si="0"/>
        <v>13.531140000000001</v>
      </c>
      <c r="L25" s="123">
        <f t="shared" si="1"/>
        <v>194.37792999999999</v>
      </c>
    </row>
    <row r="26" spans="1:12" ht="21.75" customHeight="1">
      <c r="A26" s="122">
        <v>24</v>
      </c>
      <c r="B26" s="109" t="s">
        <v>115</v>
      </c>
      <c r="C26" s="119">
        <v>7.6922100000000002</v>
      </c>
      <c r="D26" s="119">
        <v>134.31223</v>
      </c>
      <c r="E26" s="119">
        <v>0.15747</v>
      </c>
      <c r="F26" s="119">
        <v>2.81867</v>
      </c>
      <c r="G26" s="119">
        <v>22.315750000000001</v>
      </c>
      <c r="H26" s="119">
        <v>501.55304999999998</v>
      </c>
      <c r="I26" s="119"/>
      <c r="J26" s="119"/>
      <c r="K26" s="123">
        <f t="shared" si="0"/>
        <v>30.165430000000001</v>
      </c>
      <c r="L26" s="123">
        <f t="shared" si="1"/>
        <v>638.68394999999998</v>
      </c>
    </row>
    <row r="27" spans="1:12" ht="21.75" customHeight="1">
      <c r="A27" s="122">
        <v>25</v>
      </c>
      <c r="B27" s="96" t="s">
        <v>116</v>
      </c>
      <c r="C27" s="119">
        <v>5.12</v>
      </c>
      <c r="D27" s="119">
        <v>24.678000000000001</v>
      </c>
      <c r="E27" s="119"/>
      <c r="F27" s="119"/>
      <c r="G27" s="119">
        <v>6.1219999999999999</v>
      </c>
      <c r="H27" s="119">
        <v>24.366</v>
      </c>
      <c r="I27" s="119"/>
      <c r="J27" s="119"/>
      <c r="K27" s="123">
        <f t="shared" si="0"/>
        <v>11.242000000000001</v>
      </c>
      <c r="L27" s="123">
        <f t="shared" si="1"/>
        <v>49.043999999999997</v>
      </c>
    </row>
    <row r="28" spans="1:12" ht="21.75" customHeight="1">
      <c r="A28" s="122">
        <v>26</v>
      </c>
      <c r="B28" s="96" t="s">
        <v>117</v>
      </c>
      <c r="C28" s="119"/>
      <c r="D28" s="119"/>
      <c r="E28" s="119"/>
      <c r="F28" s="119"/>
      <c r="G28" s="119"/>
      <c r="H28" s="119"/>
      <c r="I28" s="119">
        <v>4.9660000000000002</v>
      </c>
      <c r="J28" s="119">
        <v>19.678999999999998</v>
      </c>
      <c r="K28" s="123">
        <f t="shared" si="0"/>
        <v>4.9660000000000002</v>
      </c>
      <c r="L28" s="123">
        <f t="shared" si="1"/>
        <v>19.678999999999998</v>
      </c>
    </row>
    <row r="29" spans="1:12" ht="21.75" customHeight="1">
      <c r="A29" s="122">
        <v>27</v>
      </c>
      <c r="B29" s="96" t="s">
        <v>118</v>
      </c>
      <c r="C29" s="119"/>
      <c r="D29" s="119"/>
      <c r="E29" s="119"/>
      <c r="F29" s="119"/>
      <c r="G29" s="119"/>
      <c r="H29" s="119"/>
      <c r="I29" s="119">
        <v>21.75048</v>
      </c>
      <c r="J29" s="119">
        <v>86.851690000000005</v>
      </c>
      <c r="K29" s="123">
        <f t="shared" si="0"/>
        <v>21.75048</v>
      </c>
      <c r="L29" s="123">
        <f t="shared" si="1"/>
        <v>86.851690000000005</v>
      </c>
    </row>
    <row r="30" spans="1:12" ht="21.75" customHeight="1">
      <c r="A30" s="122">
        <v>28</v>
      </c>
      <c r="B30" s="96" t="s">
        <v>119</v>
      </c>
      <c r="C30" s="119">
        <v>16.224</v>
      </c>
      <c r="D30" s="119">
        <v>95.28</v>
      </c>
      <c r="E30" s="119">
        <v>4.1829999999999998</v>
      </c>
      <c r="F30" s="119">
        <v>39.191000000000003</v>
      </c>
      <c r="G30" s="119"/>
      <c r="H30" s="119"/>
      <c r="I30" s="119"/>
      <c r="J30" s="119"/>
      <c r="K30" s="123">
        <f t="shared" si="0"/>
        <v>20.407</v>
      </c>
      <c r="L30" s="123">
        <f t="shared" si="1"/>
        <v>134.471</v>
      </c>
    </row>
    <row r="31" spans="1:12" ht="21.75" customHeight="1">
      <c r="A31" s="122">
        <v>29</v>
      </c>
      <c r="B31" s="96" t="s">
        <v>185</v>
      </c>
      <c r="C31" s="119">
        <f>' Citrus (UT''s)'!C10</f>
        <v>0.16300000000000001</v>
      </c>
      <c r="D31" s="119">
        <f>' Citrus (UT''s)'!D10</f>
        <v>1.0029999999999999</v>
      </c>
      <c r="E31" s="119">
        <f>' Citrus (UT''s)'!E10</f>
        <v>0.03</v>
      </c>
      <c r="F31" s="119">
        <f>' Citrus (UT''s)'!F10</f>
        <v>7.0000000000000007E-2</v>
      </c>
      <c r="G31" s="119">
        <f>' Citrus (UT''s)'!G10</f>
        <v>0</v>
      </c>
      <c r="H31" s="119">
        <f>' Citrus (UT''s)'!H10</f>
        <v>0</v>
      </c>
      <c r="I31" s="119">
        <f>' Citrus (UT''s)'!I10</f>
        <v>0</v>
      </c>
      <c r="J31" s="119">
        <f>' Citrus (UT''s)'!J10</f>
        <v>0</v>
      </c>
      <c r="K31" s="123">
        <f t="shared" si="0"/>
        <v>0.193</v>
      </c>
      <c r="L31" s="123">
        <f t="shared" si="1"/>
        <v>1.073</v>
      </c>
    </row>
    <row r="32" spans="1:12" ht="21.75" customHeight="1">
      <c r="A32" s="123"/>
      <c r="B32" s="96" t="s">
        <v>89</v>
      </c>
      <c r="C32" s="123">
        <f>C3+C4+C5+C6+C7+C8+C9+C10+C11+C12+C13+C14+C15+C16+C17+C18+C19+C20+C21+C22+C23+C24+C25+C26+C27+C28+C29+C30+C31</f>
        <v>322.25312999999994</v>
      </c>
      <c r="D32" s="123">
        <f t="shared" ref="D32:L32" si="2">D3+D4+D5+D6+D7+D8+D9+D10+D11+D12+D13+D14+D15+D16+D17+D18+D19+D20+D21+D22+D23+D24+D25+D26+D27+D28+D29+D30+D31</f>
        <v>3741.8881600000004</v>
      </c>
      <c r="E32" s="123">
        <f t="shared" si="2"/>
        <v>480.97434999999996</v>
      </c>
      <c r="F32" s="123">
        <f t="shared" si="2"/>
        <v>6399.3328199999987</v>
      </c>
      <c r="G32" s="123">
        <f t="shared" si="2"/>
        <v>230.87159000000003</v>
      </c>
      <c r="H32" s="123">
        <f t="shared" si="2"/>
        <v>4248.98693</v>
      </c>
      <c r="I32" s="123">
        <f t="shared" si="2"/>
        <v>71.643480000000011</v>
      </c>
      <c r="J32" s="123">
        <f t="shared" si="2"/>
        <v>459.56768999999991</v>
      </c>
      <c r="K32" s="123">
        <f t="shared" si="2"/>
        <v>1105.7425499999995</v>
      </c>
      <c r="L32" s="123">
        <f t="shared" si="2"/>
        <v>14849.775599999999</v>
      </c>
    </row>
    <row r="33" spans="2:10" s="124" customFormat="1" ht="16.5">
      <c r="B33" s="369"/>
      <c r="C33" s="369"/>
      <c r="D33" s="369"/>
      <c r="E33" s="369"/>
      <c r="H33" s="124" t="s">
        <v>235</v>
      </c>
    </row>
    <row r="34" spans="2:10" ht="17.25" customHeight="1">
      <c r="C34" s="124"/>
      <c r="D34" s="124"/>
      <c r="E34" s="124"/>
      <c r="F34" s="124"/>
      <c r="G34" s="124"/>
      <c r="H34" s="124"/>
      <c r="I34" s="124"/>
      <c r="J34" s="124"/>
    </row>
    <row r="37" spans="2:10" ht="17.25" customHeight="1">
      <c r="E37" s="124"/>
    </row>
    <row r="44" spans="2:10" ht="17.25" customHeight="1">
      <c r="D44" s="118" t="s">
        <v>228</v>
      </c>
    </row>
  </sheetData>
  <mergeCells count="6">
    <mergeCell ref="K1:L1"/>
    <mergeCell ref="B33:E33"/>
    <mergeCell ref="C1:D1"/>
    <mergeCell ref="E1:F1"/>
    <mergeCell ref="G1:H1"/>
    <mergeCell ref="I1:J1"/>
  </mergeCells>
  <printOptions horizontalCentered="1" verticalCentered="1"/>
  <pageMargins left="0.28000000000000003" right="0.2" top="0.96" bottom="0.37" header="0.57999999999999996" footer="0.17"/>
  <pageSetup scale="60" orientation="landscape" r:id="rId1"/>
  <headerFooter alignWithMargins="0">
    <oddHeader xml:space="preserve">&amp;C&amp;"-,Bold"&amp;22Second Advance Estimates of 2021-22
Area and Production of Citrus Crops &amp;R&amp;"-,Bold"&amp;12Area in '000 Ha 
Prdouction in '000 MT </oddHeader>
    <oddFooter>Page &amp;P of &amp;N</oddFooter>
  </headerFooter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G34"/>
  <sheetViews>
    <sheetView zoomScaleNormal="100" workbookViewId="0">
      <selection activeCell="C2" sqref="C1:C1048576"/>
    </sheetView>
  </sheetViews>
  <sheetFormatPr defaultColWidth="27.375" defaultRowHeight="21.75" customHeight="1"/>
  <cols>
    <col min="1" max="1" width="11.25" style="127" customWidth="1"/>
    <col min="2" max="2" width="30.25" style="127" customWidth="1"/>
    <col min="3" max="26" width="13.5" style="127" customWidth="1"/>
    <col min="27" max="27" width="14.75" style="127" bestFit="1" customWidth="1"/>
    <col min="28" max="28" width="15.875" style="127" bestFit="1" customWidth="1"/>
    <col min="29" max="33" width="13.5" style="127" customWidth="1"/>
    <col min="34" max="34" width="16" style="127" bestFit="1" customWidth="1"/>
    <col min="35" max="36" width="13.375" style="127" customWidth="1"/>
    <col min="37" max="43" width="13.5" style="127" customWidth="1"/>
    <col min="44" max="44" width="14.75" style="127" bestFit="1" customWidth="1"/>
    <col min="45" max="48" width="13.5" style="127" customWidth="1"/>
    <col min="49" max="49" width="15.875" style="127" customWidth="1"/>
    <col min="50" max="50" width="16.25" style="127" customWidth="1"/>
    <col min="51" max="51" width="10" style="127" customWidth="1"/>
    <col min="52" max="52" width="10.625" style="127" customWidth="1"/>
    <col min="53" max="53" width="11.75" style="127" customWidth="1"/>
    <col min="54" max="54" width="12.875" style="127" customWidth="1"/>
    <col min="55" max="55" width="12.625" style="127" customWidth="1"/>
    <col min="56" max="56" width="11.75" style="127" customWidth="1"/>
    <col min="57" max="244" width="6.5" style="127" customWidth="1"/>
    <col min="245" max="245" width="5.875" style="127" customWidth="1"/>
    <col min="246" max="16384" width="27.375" style="127"/>
  </cols>
  <sheetData>
    <row r="1" spans="1:59" s="128" customFormat="1" ht="49.9" customHeight="1">
      <c r="A1" s="125" t="s">
        <v>220</v>
      </c>
      <c r="B1" s="126" t="s">
        <v>84</v>
      </c>
      <c r="C1" s="371" t="s">
        <v>163</v>
      </c>
      <c r="D1" s="371"/>
      <c r="E1" s="361" t="s">
        <v>164</v>
      </c>
      <c r="F1" s="361"/>
      <c r="G1" s="361" t="s">
        <v>165</v>
      </c>
      <c r="H1" s="361"/>
      <c r="I1" s="361" t="s">
        <v>166</v>
      </c>
      <c r="J1" s="361"/>
      <c r="K1" s="361" t="s">
        <v>167</v>
      </c>
      <c r="L1" s="361"/>
      <c r="M1" s="361" t="s">
        <v>168</v>
      </c>
      <c r="N1" s="361"/>
      <c r="O1" s="361" t="s">
        <v>169</v>
      </c>
      <c r="P1" s="361"/>
      <c r="Q1" s="361" t="s">
        <v>170</v>
      </c>
      <c r="R1" s="361"/>
      <c r="S1" s="361" t="s">
        <v>171</v>
      </c>
      <c r="T1" s="361"/>
      <c r="U1" s="365" t="s">
        <v>172</v>
      </c>
      <c r="V1" s="373"/>
      <c r="W1" s="365" t="s">
        <v>173</v>
      </c>
      <c r="X1" s="373"/>
      <c r="Y1" s="365" t="s">
        <v>236</v>
      </c>
      <c r="Z1" s="366"/>
      <c r="AA1" s="361" t="s">
        <v>175</v>
      </c>
      <c r="AB1" s="361"/>
      <c r="AC1" s="363" t="s">
        <v>176</v>
      </c>
      <c r="AD1" s="361"/>
      <c r="AE1" s="361" t="s">
        <v>177</v>
      </c>
      <c r="AF1" s="361"/>
      <c r="AG1" s="361" t="s">
        <v>178</v>
      </c>
      <c r="AH1" s="361"/>
      <c r="AI1" s="361" t="s">
        <v>179</v>
      </c>
      <c r="AJ1" s="361"/>
      <c r="AK1" s="365" t="s">
        <v>237</v>
      </c>
      <c r="AL1" s="366"/>
      <c r="AM1" s="365" t="s">
        <v>180</v>
      </c>
      <c r="AN1" s="366"/>
      <c r="AO1" s="361" t="s">
        <v>181</v>
      </c>
      <c r="AP1" s="361"/>
      <c r="AQ1" s="361" t="s">
        <v>182</v>
      </c>
      <c r="AR1" s="361"/>
      <c r="AS1" s="372" t="s">
        <v>184</v>
      </c>
      <c r="AT1" s="373"/>
      <c r="AU1" s="361" t="s">
        <v>185</v>
      </c>
      <c r="AV1" s="361"/>
      <c r="AW1" s="361" t="s">
        <v>89</v>
      </c>
      <c r="AX1" s="361"/>
      <c r="AY1" s="127"/>
      <c r="AZ1" s="127"/>
      <c r="BA1" s="127"/>
      <c r="BB1" s="127"/>
      <c r="BC1" s="127"/>
      <c r="BD1" s="127"/>
    </row>
    <row r="2" spans="1:59" s="131" customFormat="1" ht="33" customHeight="1">
      <c r="A2" s="129"/>
      <c r="B2" s="120"/>
      <c r="C2" s="130" t="s">
        <v>90</v>
      </c>
      <c r="D2" s="130" t="s">
        <v>91</v>
      </c>
      <c r="E2" s="130" t="s">
        <v>90</v>
      </c>
      <c r="F2" s="130" t="s">
        <v>91</v>
      </c>
      <c r="G2" s="130" t="s">
        <v>90</v>
      </c>
      <c r="H2" s="130" t="s">
        <v>91</v>
      </c>
      <c r="I2" s="130" t="s">
        <v>90</v>
      </c>
      <c r="J2" s="130" t="s">
        <v>91</v>
      </c>
      <c r="K2" s="130" t="s">
        <v>90</v>
      </c>
      <c r="L2" s="130" t="s">
        <v>91</v>
      </c>
      <c r="M2" s="130" t="s">
        <v>90</v>
      </c>
      <c r="N2" s="130" t="s">
        <v>91</v>
      </c>
      <c r="O2" s="130" t="s">
        <v>90</v>
      </c>
      <c r="P2" s="130" t="s">
        <v>91</v>
      </c>
      <c r="Q2" s="130" t="s">
        <v>90</v>
      </c>
      <c r="R2" s="130" t="s">
        <v>91</v>
      </c>
      <c r="S2" s="130" t="s">
        <v>90</v>
      </c>
      <c r="T2" s="130" t="s">
        <v>91</v>
      </c>
      <c r="U2" s="130" t="s">
        <v>90</v>
      </c>
      <c r="V2" s="130" t="s">
        <v>91</v>
      </c>
      <c r="W2" s="130" t="s">
        <v>90</v>
      </c>
      <c r="X2" s="130" t="s">
        <v>91</v>
      </c>
      <c r="Y2" s="130" t="s">
        <v>90</v>
      </c>
      <c r="Z2" s="130" t="s">
        <v>91</v>
      </c>
      <c r="AA2" s="130" t="s">
        <v>90</v>
      </c>
      <c r="AB2" s="130" t="s">
        <v>91</v>
      </c>
      <c r="AC2" s="130" t="s">
        <v>90</v>
      </c>
      <c r="AD2" s="130" t="s">
        <v>91</v>
      </c>
      <c r="AE2" s="130" t="s">
        <v>90</v>
      </c>
      <c r="AF2" s="130" t="s">
        <v>91</v>
      </c>
      <c r="AG2" s="130" t="s">
        <v>90</v>
      </c>
      <c r="AH2" s="130" t="s">
        <v>91</v>
      </c>
      <c r="AI2" s="130" t="s">
        <v>90</v>
      </c>
      <c r="AJ2" s="130" t="s">
        <v>91</v>
      </c>
      <c r="AK2" s="130" t="s">
        <v>90</v>
      </c>
      <c r="AL2" s="130" t="s">
        <v>91</v>
      </c>
      <c r="AM2" s="130" t="s">
        <v>90</v>
      </c>
      <c r="AN2" s="130" t="s">
        <v>91</v>
      </c>
      <c r="AO2" s="130" t="s">
        <v>90</v>
      </c>
      <c r="AP2" s="130" t="s">
        <v>91</v>
      </c>
      <c r="AQ2" s="130" t="s">
        <v>90</v>
      </c>
      <c r="AR2" s="130" t="s">
        <v>91</v>
      </c>
      <c r="AS2" s="130" t="s">
        <v>90</v>
      </c>
      <c r="AT2" s="130" t="s">
        <v>91</v>
      </c>
      <c r="AU2" s="130" t="s">
        <v>90</v>
      </c>
      <c r="AV2" s="130" t="s">
        <v>91</v>
      </c>
      <c r="AW2" s="130" t="s">
        <v>90</v>
      </c>
      <c r="AX2" s="130" t="s">
        <v>91</v>
      </c>
      <c r="AY2" s="127"/>
      <c r="AZ2" s="127"/>
      <c r="BA2" s="127"/>
      <c r="BB2" s="127"/>
      <c r="BC2" s="127"/>
      <c r="BD2" s="127"/>
    </row>
    <row r="3" spans="1:59" ht="23.45" customHeight="1">
      <c r="A3" s="132">
        <v>1</v>
      </c>
      <c r="B3" s="96" t="s">
        <v>92</v>
      </c>
      <c r="C3" s="133">
        <v>20.082999999999998</v>
      </c>
      <c r="D3" s="133">
        <v>261.07299999999998</v>
      </c>
      <c r="E3" s="133">
        <v>6.33</v>
      </c>
      <c r="F3" s="133">
        <v>123.49</v>
      </c>
      <c r="G3" s="133">
        <v>1.946</v>
      </c>
      <c r="H3" s="133">
        <v>40.863</v>
      </c>
      <c r="I3" s="133">
        <v>15.67</v>
      </c>
      <c r="J3" s="133">
        <v>446.6</v>
      </c>
      <c r="K3" s="133">
        <v>2.2890000000000001</v>
      </c>
      <c r="L3" s="133">
        <v>48.073</v>
      </c>
      <c r="M3" s="133">
        <v>9.7000000000000003E-2</v>
      </c>
      <c r="N3" s="133">
        <v>3.3849999999999998</v>
      </c>
      <c r="O3" s="133">
        <v>0.67700000000000005</v>
      </c>
      <c r="P3" s="133">
        <v>14.207000000000001</v>
      </c>
      <c r="Q3" s="133">
        <v>1.8819999999999999</v>
      </c>
      <c r="R3" s="133">
        <v>31.989000000000001</v>
      </c>
      <c r="S3" s="133">
        <v>1.8049999999999999</v>
      </c>
      <c r="T3" s="133">
        <v>41.508000000000003</v>
      </c>
      <c r="U3" s="133">
        <v>19.048999999999999</v>
      </c>
      <c r="V3" s="133">
        <v>495.27699999999999</v>
      </c>
      <c r="W3" s="133">
        <v>3.3559999999999999</v>
      </c>
      <c r="X3" s="133">
        <v>201.369</v>
      </c>
      <c r="Y3" s="133">
        <v>25.86</v>
      </c>
      <c r="Z3" s="133">
        <v>413.71</v>
      </c>
      <c r="AA3" s="111">
        <v>45</v>
      </c>
      <c r="AB3" s="111">
        <v>723</v>
      </c>
      <c r="AC3" s="133">
        <v>0.28899999999999998</v>
      </c>
      <c r="AD3" s="133">
        <v>7.8029999999999999</v>
      </c>
      <c r="AE3" s="133">
        <v>2.7E-2</v>
      </c>
      <c r="AF3" s="133">
        <v>0.189</v>
      </c>
      <c r="AG3" s="111">
        <v>2.2930000000000001</v>
      </c>
      <c r="AH3" s="111">
        <v>41.274999999999999</v>
      </c>
      <c r="AI3" s="133">
        <v>0.45800000000000002</v>
      </c>
      <c r="AJ3" s="133">
        <v>9.6189999999999998</v>
      </c>
      <c r="AK3" s="133">
        <v>0.27200000000000002</v>
      </c>
      <c r="AL3" s="133">
        <v>5.984</v>
      </c>
      <c r="AM3" s="133">
        <v>0.57299999999999995</v>
      </c>
      <c r="AN3" s="133">
        <v>8.5950000000000006</v>
      </c>
      <c r="AO3" s="133">
        <v>9.5250000000000004</v>
      </c>
      <c r="AP3" s="133">
        <v>152.40199999999999</v>
      </c>
      <c r="AQ3" s="134">
        <v>57.27</v>
      </c>
      <c r="AR3" s="134">
        <v>2303.79</v>
      </c>
      <c r="AS3" s="133"/>
      <c r="AT3" s="133">
        <v>0.05</v>
      </c>
      <c r="AU3" s="133">
        <v>34.58</v>
      </c>
      <c r="AV3" s="133">
        <v>1486.94</v>
      </c>
      <c r="AW3" s="135">
        <f>C3+E3+G3+I3+K3+M3+O3+Q3+S3+U3+W3+Y3+AA3+AC3+AE3+AG3+AI3+AK3+AM3+AO3+AQ3+AS3+AU3</f>
        <v>249.33099999999996</v>
      </c>
      <c r="AX3" s="135">
        <f>D3+F3+H3+J3+L3+N3+P3+R3+T3+V3+X3+Z3+AB3+AD3+AF3+AH3+AJ3+AL3+AN3+AP3+AR3+AT3+AV3</f>
        <v>6861.1909999999989</v>
      </c>
    </row>
    <row r="4" spans="1:59" ht="23.45" customHeight="1">
      <c r="A4" s="132">
        <v>2</v>
      </c>
      <c r="B4" s="99" t="s">
        <v>186</v>
      </c>
      <c r="C4" s="133">
        <v>0.215</v>
      </c>
      <c r="D4" s="133">
        <v>1.0429999999999999</v>
      </c>
      <c r="E4" s="133">
        <v>5.5E-2</v>
      </c>
      <c r="F4" s="133">
        <v>0.215</v>
      </c>
      <c r="G4" s="133"/>
      <c r="H4" s="133"/>
      <c r="I4" s="133">
        <v>0.33</v>
      </c>
      <c r="J4" s="133">
        <v>1.792</v>
      </c>
      <c r="K4" s="133">
        <v>0.437</v>
      </c>
      <c r="L4" s="133">
        <v>5.6360000000000001</v>
      </c>
      <c r="M4" s="133">
        <v>2.9000000000000001E-2</v>
      </c>
      <c r="N4" s="133">
        <v>0.108</v>
      </c>
      <c r="O4" s="133">
        <v>6.3E-2</v>
      </c>
      <c r="P4" s="133">
        <v>0.49399999999999999</v>
      </c>
      <c r="Q4" s="133">
        <v>0.251</v>
      </c>
      <c r="R4" s="133">
        <v>1.4710000000000001</v>
      </c>
      <c r="S4" s="133">
        <v>0.104</v>
      </c>
      <c r="T4" s="133">
        <v>0.46100000000000002</v>
      </c>
      <c r="U4" s="133">
        <v>0.20300000000000001</v>
      </c>
      <c r="V4" s="133">
        <v>0.33700000000000002</v>
      </c>
      <c r="W4" s="133"/>
      <c r="X4" s="133"/>
      <c r="Y4" s="133">
        <v>0.10299999999999999</v>
      </c>
      <c r="Z4" s="133">
        <v>0.39300000000000002</v>
      </c>
      <c r="AA4" s="111"/>
      <c r="AB4" s="111"/>
      <c r="AC4" s="133"/>
      <c r="AD4" s="133"/>
      <c r="AE4" s="133">
        <v>7.8E-2</v>
      </c>
      <c r="AF4" s="133">
        <v>0.14199999999999999</v>
      </c>
      <c r="AG4" s="111">
        <v>0.02</v>
      </c>
      <c r="AH4" s="111">
        <v>0.435</v>
      </c>
      <c r="AI4" s="133">
        <v>7.1999999999999995E-2</v>
      </c>
      <c r="AJ4" s="133">
        <v>0.38</v>
      </c>
      <c r="AK4" s="133">
        <v>0.19900000000000001</v>
      </c>
      <c r="AL4" s="133">
        <v>1.3680000000000001</v>
      </c>
      <c r="AM4" s="133"/>
      <c r="AN4" s="133"/>
      <c r="AO4" s="133">
        <v>6.4000000000000001E-2</v>
      </c>
      <c r="AP4" s="133">
        <v>0.104</v>
      </c>
      <c r="AQ4" s="133">
        <v>0.247</v>
      </c>
      <c r="AR4" s="133">
        <v>2.15</v>
      </c>
      <c r="AS4" s="133"/>
      <c r="AT4" s="133">
        <v>0.09</v>
      </c>
      <c r="AU4" s="133">
        <v>0.15000000000000002</v>
      </c>
      <c r="AV4" s="133">
        <v>0.8</v>
      </c>
      <c r="AW4" s="135">
        <f t="shared" ref="AW4:AW31" si="0">C4+E4+G4+I4+K4+M4+O4+Q4+S4+U4+W4+Y4+AA4+AC4+AE4+AG4+AI4+AK4+AM4+AO4+AQ4+AS4+AU4</f>
        <v>2.62</v>
      </c>
      <c r="AX4" s="135">
        <f t="shared" ref="AX4:AX31" si="1">D4+F4+H4+J4+L4+N4+P4+R4+T4+V4+X4+Z4+AB4+AD4+AF4+AH4+AJ4+AL4+AN4+AP4+AR4+AT4+AV4</f>
        <v>17.419</v>
      </c>
    </row>
    <row r="5" spans="1:59" ht="23.45" customHeight="1">
      <c r="A5" s="132">
        <v>3</v>
      </c>
      <c r="B5" s="96" t="s">
        <v>94</v>
      </c>
      <c r="C5" s="133">
        <v>2.0499999999999998</v>
      </c>
      <c r="D5" s="133">
        <v>30.045000000000002</v>
      </c>
      <c r="E5" s="133">
        <v>5.6769999999999996</v>
      </c>
      <c r="F5" s="133">
        <v>55.896000000000001</v>
      </c>
      <c r="G5" s="133">
        <v>3.117</v>
      </c>
      <c r="H5" s="133">
        <v>55.16</v>
      </c>
      <c r="I5" s="133">
        <v>18.308</v>
      </c>
      <c r="J5" s="133">
        <v>324.96699999999998</v>
      </c>
      <c r="K5" s="133">
        <v>34.218000000000004</v>
      </c>
      <c r="L5" s="133">
        <v>744.75400000000002</v>
      </c>
      <c r="M5" s="133">
        <v>0.58199999999999996</v>
      </c>
      <c r="N5" s="133">
        <v>4.3360000000000003</v>
      </c>
      <c r="O5" s="133">
        <v>4.6619999999999999</v>
      </c>
      <c r="P5" s="133">
        <v>77.528999999999996</v>
      </c>
      <c r="Q5" s="133">
        <v>23.56</v>
      </c>
      <c r="R5" s="133">
        <v>436.44900000000001</v>
      </c>
      <c r="S5" s="133">
        <v>7.181</v>
      </c>
      <c r="T5" s="133">
        <v>90.228999999999999</v>
      </c>
      <c r="U5" s="133"/>
      <c r="V5" s="133"/>
      <c r="W5" s="133"/>
      <c r="X5" s="133"/>
      <c r="Y5" s="133">
        <v>12.57</v>
      </c>
      <c r="Z5" s="133">
        <v>200.994</v>
      </c>
      <c r="AA5" s="111">
        <v>8.32</v>
      </c>
      <c r="AB5" s="111">
        <v>92.317999999999998</v>
      </c>
      <c r="AC5" s="133">
        <v>1.9790000000000001</v>
      </c>
      <c r="AD5" s="133">
        <v>19.77</v>
      </c>
      <c r="AE5" s="133">
        <v>27.99</v>
      </c>
      <c r="AF5" s="133">
        <v>26.17</v>
      </c>
      <c r="AG5" s="111">
        <v>103.441</v>
      </c>
      <c r="AH5" s="111">
        <v>761.84299999999996</v>
      </c>
      <c r="AI5" s="133">
        <v>21.866</v>
      </c>
      <c r="AJ5" s="133">
        <v>256.59699999999998</v>
      </c>
      <c r="AK5" s="133"/>
      <c r="AL5" s="133"/>
      <c r="AM5" s="133">
        <v>5.0529999999999999</v>
      </c>
      <c r="AN5" s="133">
        <v>27.664999999999999</v>
      </c>
      <c r="AO5" s="133">
        <v>3.3170000000000002</v>
      </c>
      <c r="AP5" s="133">
        <v>32.299999999999997</v>
      </c>
      <c r="AQ5" s="133">
        <v>18.785</v>
      </c>
      <c r="AR5" s="133">
        <v>430.83300000000003</v>
      </c>
      <c r="AS5" s="133"/>
      <c r="AT5" s="133">
        <v>1.61</v>
      </c>
      <c r="AU5" s="133"/>
      <c r="AV5" s="133"/>
      <c r="AW5" s="135">
        <f t="shared" si="0"/>
        <v>302.67600000000004</v>
      </c>
      <c r="AX5" s="135">
        <f t="shared" si="1"/>
        <v>3669.4650000000001</v>
      </c>
    </row>
    <row r="6" spans="1:59" ht="23.45" customHeight="1">
      <c r="A6" s="132">
        <v>4</v>
      </c>
      <c r="B6" s="96" t="s">
        <v>95</v>
      </c>
      <c r="C6" s="133">
        <v>23.087</v>
      </c>
      <c r="D6" s="133">
        <v>244.55</v>
      </c>
      <c r="E6" s="133">
        <v>11.302</v>
      </c>
      <c r="F6" s="133">
        <v>91.733999999999995</v>
      </c>
      <c r="G6" s="133">
        <v>44.161000000000001</v>
      </c>
      <c r="H6" s="133">
        <v>655.548</v>
      </c>
      <c r="I6" s="133">
        <v>57.856999999999999</v>
      </c>
      <c r="J6" s="133">
        <v>1203.768</v>
      </c>
      <c r="K6" s="133">
        <v>41.41</v>
      </c>
      <c r="L6" s="133">
        <v>721.92100000000005</v>
      </c>
      <c r="M6" s="133"/>
      <c r="N6" s="133"/>
      <c r="O6" s="133">
        <v>13.920999999999999</v>
      </c>
      <c r="P6" s="133">
        <v>147.52699999999999</v>
      </c>
      <c r="Q6" s="133">
        <v>68.725999999999999</v>
      </c>
      <c r="R6" s="133">
        <v>1031.47</v>
      </c>
      <c r="S6" s="133">
        <v>9.7910000000000004</v>
      </c>
      <c r="T6" s="133">
        <v>42.511000000000003</v>
      </c>
      <c r="U6" s="133">
        <v>47.35</v>
      </c>
      <c r="V6" s="133">
        <v>481.33199999999999</v>
      </c>
      <c r="W6" s="133">
        <v>3.3079999999999998</v>
      </c>
      <c r="X6" s="133">
        <v>58.235999999999997</v>
      </c>
      <c r="Y6" s="133">
        <v>59.197000000000003</v>
      </c>
      <c r="Z6" s="133">
        <v>794.10400000000004</v>
      </c>
      <c r="AA6" s="111">
        <v>57.999999999999993</v>
      </c>
      <c r="AB6" s="111">
        <v>1375</v>
      </c>
      <c r="AC6" s="133">
        <v>9.8379999999999992</v>
      </c>
      <c r="AD6" s="133">
        <v>98.994</v>
      </c>
      <c r="AE6" s="133">
        <v>11.932</v>
      </c>
      <c r="AF6" s="133">
        <v>66.319999999999993</v>
      </c>
      <c r="AG6" s="111">
        <v>330</v>
      </c>
      <c r="AH6" s="111">
        <v>9125.7999999999993</v>
      </c>
      <c r="AI6" s="133">
        <v>24.609000000000002</v>
      </c>
      <c r="AJ6" s="133">
        <v>231.77799999999999</v>
      </c>
      <c r="AK6" s="133">
        <v>1.911</v>
      </c>
      <c r="AL6" s="133">
        <v>19.097000000000001</v>
      </c>
      <c r="AM6" s="133">
        <v>2.3849999999999998</v>
      </c>
      <c r="AN6" s="133">
        <v>44.917999999999999</v>
      </c>
      <c r="AO6" s="133"/>
      <c r="AP6" s="133"/>
      <c r="AQ6" s="133">
        <v>53</v>
      </c>
      <c r="AR6" s="133">
        <v>1007</v>
      </c>
      <c r="AS6" s="133"/>
      <c r="AT6" s="133">
        <v>28.71</v>
      </c>
      <c r="AU6" s="133">
        <v>32.771000000000001</v>
      </c>
      <c r="AV6" s="133">
        <v>384.62700000000001</v>
      </c>
      <c r="AW6" s="135">
        <f t="shared" si="0"/>
        <v>904.55599999999993</v>
      </c>
      <c r="AX6" s="135">
        <f t="shared" si="1"/>
        <v>17854.945</v>
      </c>
    </row>
    <row r="7" spans="1:59" ht="23.45" customHeight="1">
      <c r="A7" s="132">
        <v>5</v>
      </c>
      <c r="B7" s="96" t="s">
        <v>96</v>
      </c>
      <c r="C7" s="136">
        <v>9.282</v>
      </c>
      <c r="D7" s="136">
        <v>93.222999999999999</v>
      </c>
      <c r="E7" s="136">
        <v>12.548999999999999</v>
      </c>
      <c r="F7" s="136">
        <v>169.55799999999999</v>
      </c>
      <c r="G7" s="136">
        <v>14.223000000000001</v>
      </c>
      <c r="H7" s="136">
        <v>261.613</v>
      </c>
      <c r="I7" s="136">
        <v>37.875999999999998</v>
      </c>
      <c r="J7" s="136">
        <v>710.74699999999996</v>
      </c>
      <c r="K7" s="136">
        <v>21.916</v>
      </c>
      <c r="L7" s="136">
        <v>418.13799999999998</v>
      </c>
      <c r="M7" s="136">
        <v>0.40799999999999997</v>
      </c>
      <c r="N7" s="136">
        <v>7.0419999999999998</v>
      </c>
      <c r="O7" s="136">
        <v>2.29</v>
      </c>
      <c r="P7" s="136">
        <v>30.338999999999999</v>
      </c>
      <c r="Q7" s="136">
        <v>23.76</v>
      </c>
      <c r="R7" s="136">
        <v>479.77800000000002</v>
      </c>
      <c r="S7" s="136"/>
      <c r="T7" s="136"/>
      <c r="U7" s="136">
        <v>28.233000000000001</v>
      </c>
      <c r="V7" s="136">
        <v>203.143</v>
      </c>
      <c r="W7" s="136">
        <v>3.3780000000000001</v>
      </c>
      <c r="X7" s="136">
        <v>39.981000000000002</v>
      </c>
      <c r="Y7" s="136">
        <v>31.882000000000001</v>
      </c>
      <c r="Z7" s="136">
        <v>355.55900000000003</v>
      </c>
      <c r="AA7" s="136">
        <v>23.184000000000001</v>
      </c>
      <c r="AB7" s="136">
        <v>376.82400000000001</v>
      </c>
      <c r="AC7" s="136">
        <v>3.0110000000000001</v>
      </c>
      <c r="AD7" s="136">
        <v>37.945</v>
      </c>
      <c r="AE7" s="136">
        <v>9.2050000000000001</v>
      </c>
      <c r="AF7" s="136">
        <v>124.096</v>
      </c>
      <c r="AG7" s="136">
        <v>41.347999999999999</v>
      </c>
      <c r="AH7" s="136">
        <v>640.97799999999995</v>
      </c>
      <c r="AI7" s="136">
        <v>13.375999999999999</v>
      </c>
      <c r="AJ7" s="136">
        <v>239.16900000000001</v>
      </c>
      <c r="AK7" s="136">
        <v>7.6740000000000004</v>
      </c>
      <c r="AL7" s="136">
        <v>110.38800000000001</v>
      </c>
      <c r="AM7" s="136">
        <v>4.5940000000000003</v>
      </c>
      <c r="AN7" s="136">
        <v>53.546999999999997</v>
      </c>
      <c r="AO7" s="136"/>
      <c r="AP7" s="136"/>
      <c r="AQ7" s="136">
        <v>59.234999999999999</v>
      </c>
      <c r="AR7" s="136">
        <v>1045.778</v>
      </c>
      <c r="AS7" s="136"/>
      <c r="AT7" s="136">
        <v>15.99</v>
      </c>
      <c r="AU7" s="136">
        <f>7.646+10.496+102.186+2.762+0.043</f>
        <v>123.13300000000001</v>
      </c>
      <c r="AV7" s="136">
        <f>25.003+1094.763+0.173+106.98+109.032</f>
        <v>1335.9509999999998</v>
      </c>
      <c r="AW7" s="135">
        <f t="shared" si="0"/>
        <v>470.55700000000002</v>
      </c>
      <c r="AX7" s="135">
        <f t="shared" si="1"/>
        <v>6749.7870000000003</v>
      </c>
    </row>
    <row r="8" spans="1:59" ht="23.45" customHeight="1">
      <c r="A8" s="132">
        <v>6</v>
      </c>
      <c r="B8" s="96" t="s">
        <v>97</v>
      </c>
      <c r="C8" s="133">
        <v>75.626000000000005</v>
      </c>
      <c r="D8" s="133">
        <v>751.99400000000003</v>
      </c>
      <c r="E8" s="133"/>
      <c r="F8" s="133"/>
      <c r="G8" s="133"/>
      <c r="H8" s="133"/>
      <c r="I8" s="133">
        <v>77.546999999999997</v>
      </c>
      <c r="J8" s="133">
        <v>1533.6690000000001</v>
      </c>
      <c r="K8" s="133">
        <v>37.396999999999998</v>
      </c>
      <c r="L8" s="133">
        <v>796.72900000000004</v>
      </c>
      <c r="M8" s="133"/>
      <c r="N8" s="133"/>
      <c r="O8" s="133"/>
      <c r="P8" s="133"/>
      <c r="Q8" s="133">
        <v>33.006999999999998</v>
      </c>
      <c r="R8" s="133">
        <v>713.87199999999996</v>
      </c>
      <c r="S8" s="133"/>
      <c r="T8" s="133"/>
      <c r="U8" s="133"/>
      <c r="V8" s="133"/>
      <c r="W8" s="133"/>
      <c r="X8" s="133"/>
      <c r="Y8" s="133">
        <v>85.144999999999996</v>
      </c>
      <c r="Z8" s="133">
        <v>1019.422</v>
      </c>
      <c r="AA8" s="111">
        <v>100</v>
      </c>
      <c r="AB8" s="111">
        <v>2555</v>
      </c>
      <c r="AC8" s="133"/>
      <c r="AD8" s="133"/>
      <c r="AE8" s="133"/>
      <c r="AF8" s="133"/>
      <c r="AG8" s="111">
        <v>127.8</v>
      </c>
      <c r="AH8" s="111">
        <v>3700</v>
      </c>
      <c r="AI8" s="133"/>
      <c r="AJ8" s="133"/>
      <c r="AK8" s="133"/>
      <c r="AL8" s="133"/>
      <c r="AM8" s="133"/>
      <c r="AN8" s="133"/>
      <c r="AO8" s="133"/>
      <c r="AP8" s="133"/>
      <c r="AQ8" s="133">
        <v>53</v>
      </c>
      <c r="AR8" s="133">
        <v>1483</v>
      </c>
      <c r="AS8" s="133"/>
      <c r="AT8" s="133">
        <v>14.32</v>
      </c>
      <c r="AU8" s="133">
        <v>201.673</v>
      </c>
      <c r="AV8" s="133">
        <v>3127.2240000000002</v>
      </c>
      <c r="AW8" s="135">
        <f t="shared" si="0"/>
        <v>791.19499999999994</v>
      </c>
      <c r="AX8" s="135">
        <f t="shared" si="1"/>
        <v>15695.23</v>
      </c>
    </row>
    <row r="9" spans="1:59" ht="23.45" customHeight="1">
      <c r="A9" s="132">
        <v>7</v>
      </c>
      <c r="B9" s="96" t="s">
        <v>98</v>
      </c>
      <c r="C9" s="133"/>
      <c r="D9" s="133"/>
      <c r="E9" s="137">
        <v>6.64</v>
      </c>
      <c r="F9" s="137">
        <v>48.917000000000002</v>
      </c>
      <c r="G9" s="137">
        <v>18.474</v>
      </c>
      <c r="H9" s="137">
        <v>261.46899999999999</v>
      </c>
      <c r="I9" s="137">
        <v>8.6300000000000008</v>
      </c>
      <c r="J9" s="137">
        <v>146.15299999999999</v>
      </c>
      <c r="K9" s="137">
        <v>12.250999999999999</v>
      </c>
      <c r="L9" s="133">
        <v>254.465</v>
      </c>
      <c r="M9" s="133">
        <f>3.741+0.083</f>
        <v>3.8240000000000003</v>
      </c>
      <c r="N9" s="133">
        <f>44.987+4.856</f>
        <v>49.843000000000004</v>
      </c>
      <c r="O9" s="133">
        <v>20.332000000000001</v>
      </c>
      <c r="P9" s="133">
        <v>354.64800000000002</v>
      </c>
      <c r="Q9" s="133">
        <v>28.852</v>
      </c>
      <c r="R9" s="133">
        <v>583.61199999999997</v>
      </c>
      <c r="S9" s="133">
        <f>9.375+0.627</f>
        <v>10.002000000000001</v>
      </c>
      <c r="T9" s="133">
        <f>153.482+33.638</f>
        <v>187.12</v>
      </c>
      <c r="U9" s="133">
        <v>11.055999999999999</v>
      </c>
      <c r="V9" s="133">
        <v>114.45699999999999</v>
      </c>
      <c r="W9" s="133"/>
      <c r="X9" s="133"/>
      <c r="Y9" s="133">
        <v>11.628</v>
      </c>
      <c r="Z9" s="133">
        <v>119.31100000000001</v>
      </c>
      <c r="AA9" s="111">
        <v>25</v>
      </c>
      <c r="AB9" s="111">
        <v>533</v>
      </c>
      <c r="AC9" s="133"/>
      <c r="AD9" s="133"/>
      <c r="AE9" s="133">
        <v>8.1489999999999991</v>
      </c>
      <c r="AF9" s="133">
        <v>118.93899999999999</v>
      </c>
      <c r="AG9" s="111">
        <v>29.5</v>
      </c>
      <c r="AH9" s="111">
        <v>782.5</v>
      </c>
      <c r="AI9" s="133">
        <v>23.099</v>
      </c>
      <c r="AJ9" s="133">
        <v>441.262</v>
      </c>
      <c r="AK9" s="133">
        <v>4.2439999999999998</v>
      </c>
      <c r="AL9" s="133">
        <v>58.168999999999997</v>
      </c>
      <c r="AM9" s="133"/>
      <c r="AN9" s="133"/>
      <c r="AO9" s="133"/>
      <c r="AP9" s="133"/>
      <c r="AQ9" s="133">
        <v>18.91</v>
      </c>
      <c r="AR9" s="133">
        <v>397</v>
      </c>
      <c r="AS9" s="133"/>
      <c r="AT9" s="133">
        <v>21.2</v>
      </c>
      <c r="AU9" s="133">
        <f>0.634+10.091+39.43+36.752</f>
        <v>86.907000000000011</v>
      </c>
      <c r="AV9" s="133">
        <f>6.735+102.233+451.087+428.136</f>
        <v>988.19100000000003</v>
      </c>
      <c r="AW9" s="135">
        <f t="shared" si="0"/>
        <v>327.49799999999999</v>
      </c>
      <c r="AX9" s="135">
        <f t="shared" si="1"/>
        <v>5460.2559999999994</v>
      </c>
    </row>
    <row r="10" spans="1:59" ht="23.45" customHeight="1">
      <c r="A10" s="132">
        <v>8</v>
      </c>
      <c r="B10" s="96" t="s">
        <v>99</v>
      </c>
      <c r="C10" s="133">
        <v>4.2519999999999998</v>
      </c>
      <c r="D10" s="133">
        <v>63.734999999999999</v>
      </c>
      <c r="E10" s="133"/>
      <c r="F10" s="133"/>
      <c r="G10" s="133"/>
      <c r="H10" s="133"/>
      <c r="I10" s="133">
        <v>1.012</v>
      </c>
      <c r="J10" s="133">
        <v>20.917999999999999</v>
      </c>
      <c r="K10" s="133">
        <v>4.6609999999999996</v>
      </c>
      <c r="L10" s="133">
        <v>146.65899999999999</v>
      </c>
      <c r="M10" s="133">
        <v>2.8479999999999999</v>
      </c>
      <c r="N10" s="133">
        <v>48.859000000000002</v>
      </c>
      <c r="O10" s="133">
        <v>0.247</v>
      </c>
      <c r="P10" s="133">
        <v>4.7779999999999996</v>
      </c>
      <c r="Q10" s="133">
        <v>5.6379999999999999</v>
      </c>
      <c r="R10" s="133">
        <v>135.10900000000001</v>
      </c>
      <c r="S10" s="133"/>
      <c r="T10" s="133"/>
      <c r="U10" s="133">
        <v>1.1439999999999999</v>
      </c>
      <c r="V10" s="133">
        <v>13.478</v>
      </c>
      <c r="W10" s="133"/>
      <c r="X10" s="133"/>
      <c r="Y10" s="133">
        <v>3.915</v>
      </c>
      <c r="Z10" s="133">
        <v>60.95</v>
      </c>
      <c r="AA10" s="111">
        <v>3.411</v>
      </c>
      <c r="AB10" s="111">
        <v>74.826999999999998</v>
      </c>
      <c r="AC10" s="133"/>
      <c r="AD10" s="133"/>
      <c r="AE10" s="133">
        <v>25.997</v>
      </c>
      <c r="AF10" s="133">
        <v>328.80399999999997</v>
      </c>
      <c r="AG10" s="111">
        <v>15</v>
      </c>
      <c r="AH10" s="111">
        <v>196.3</v>
      </c>
      <c r="AI10" s="133">
        <v>2.0870000000000002</v>
      </c>
      <c r="AJ10" s="133">
        <v>44.738999999999997</v>
      </c>
      <c r="AK10" s="133"/>
      <c r="AL10" s="133"/>
      <c r="AM10" s="133"/>
      <c r="AN10" s="133"/>
      <c r="AO10" s="133"/>
      <c r="AP10" s="133"/>
      <c r="AQ10" s="133">
        <v>14</v>
      </c>
      <c r="AR10" s="133">
        <v>577</v>
      </c>
      <c r="AS10" s="133"/>
      <c r="AT10" s="133">
        <v>18</v>
      </c>
      <c r="AU10" s="133">
        <f>0.606+5.709+0.798+0.6625</f>
        <v>7.7754999999999992</v>
      </c>
      <c r="AV10" s="133">
        <f>100.801+17.907+9.9084+15.663</f>
        <v>144.27940000000001</v>
      </c>
      <c r="AW10" s="135">
        <f t="shared" si="0"/>
        <v>91.987499999999997</v>
      </c>
      <c r="AX10" s="135">
        <f t="shared" si="1"/>
        <v>1878.4353999999998</v>
      </c>
    </row>
    <row r="11" spans="1:59" ht="23.45" customHeight="1">
      <c r="A11" s="132">
        <v>9</v>
      </c>
      <c r="B11" s="96" t="s">
        <v>187</v>
      </c>
      <c r="C11" s="133">
        <f>0.974+3.29</f>
        <v>4.2640000000000002</v>
      </c>
      <c r="D11" s="133">
        <f>13.0482+26.124</f>
        <v>39.172199999999997</v>
      </c>
      <c r="E11" s="133">
        <f>0.361+0.032</f>
        <v>0.39300000000000002</v>
      </c>
      <c r="F11" s="133">
        <f>5.7219+0.264</f>
        <v>5.9859</v>
      </c>
      <c r="G11" s="133">
        <f>0.678+0.328</f>
        <v>1.006</v>
      </c>
      <c r="H11" s="133">
        <f>14.99462+10.3</f>
        <v>25.294620000000002</v>
      </c>
      <c r="I11" s="133">
        <f>0.665+1.006</f>
        <v>1.671</v>
      </c>
      <c r="J11" s="133">
        <f>14.216+20.1821</f>
        <v>34.398099999999999</v>
      </c>
      <c r="K11" s="133">
        <f>0.854+1.657</f>
        <v>2.5110000000000001</v>
      </c>
      <c r="L11" s="133">
        <f>27.689+48.838955</f>
        <v>76.527954999999992</v>
      </c>
      <c r="M11" s="133">
        <f>0.343+0.204</f>
        <v>0.54700000000000004</v>
      </c>
      <c r="N11" s="133">
        <f>5.443+15.358</f>
        <v>20.801000000000002</v>
      </c>
      <c r="O11" s="133">
        <f>1.409+0.47</f>
        <v>1.879</v>
      </c>
      <c r="P11" s="133">
        <f>9.428822+22.896</f>
        <v>32.324821999999998</v>
      </c>
      <c r="Q11" s="133">
        <f>1.028+2.022+0.02</f>
        <v>3.07</v>
      </c>
      <c r="R11" s="133">
        <f>32.319+60.79164+0.44096</f>
        <v>93.551600000000008</v>
      </c>
      <c r="S11" s="133">
        <f>0.402+0.677</f>
        <v>1.0790000000000002</v>
      </c>
      <c r="T11" s="133">
        <f>8.435+12.2446</f>
        <v>20.679600000000001</v>
      </c>
      <c r="U11" s="133">
        <f>0.515+0.79</f>
        <v>1.3050000000000002</v>
      </c>
      <c r="V11" s="133">
        <f>4.188+8.43671</f>
        <v>12.62471</v>
      </c>
      <c r="W11" s="133">
        <v>0.19800000000000001</v>
      </c>
      <c r="X11" s="133">
        <v>3.96</v>
      </c>
      <c r="Y11" s="133">
        <f>0.081+3.348</f>
        <v>3.4289999999999998</v>
      </c>
      <c r="Z11" s="133">
        <f>0.758+142.92631</f>
        <v>143.68431000000001</v>
      </c>
      <c r="AA11" s="133">
        <v>4.3159999999999998</v>
      </c>
      <c r="AB11" s="133">
        <v>77.835800000000006</v>
      </c>
      <c r="AC11" s="111">
        <v>5.0000000000000001E-3</v>
      </c>
      <c r="AD11" s="111">
        <v>2.1000000000000001E-2</v>
      </c>
      <c r="AE11" s="133">
        <f>2.282+1.561+0.162</f>
        <v>4.0049999999999999</v>
      </c>
      <c r="AF11" s="133">
        <f>28.208+22.6744488+1.05</f>
        <v>51.932448799999996</v>
      </c>
      <c r="AG11" s="133">
        <v>8.0309999999999988</v>
      </c>
      <c r="AH11" s="133">
        <v>197.86552100000003</v>
      </c>
      <c r="AI11" s="111">
        <f>1.304+1.705+0.188</f>
        <v>3.1970000000000005</v>
      </c>
      <c r="AJ11" s="111">
        <f>68.204+43.08801+4.7764</f>
        <v>116.06840999999999</v>
      </c>
      <c r="AK11" s="133">
        <f>0.315+0.251</f>
        <v>0.56600000000000006</v>
      </c>
      <c r="AL11" s="133">
        <f>6.344+7.5972</f>
        <v>13.9412</v>
      </c>
      <c r="AM11" s="133">
        <v>1.375</v>
      </c>
      <c r="AN11" s="133">
        <v>21.405999999999999</v>
      </c>
      <c r="AO11" s="133"/>
      <c r="AP11" s="133"/>
      <c r="AQ11" s="133">
        <v>3.2850000000000001</v>
      </c>
      <c r="AR11" s="133">
        <v>79.947499999999991</v>
      </c>
      <c r="AS11" s="133"/>
      <c r="AT11" s="133">
        <v>2.36</v>
      </c>
      <c r="AU11" s="133">
        <v>13.991</v>
      </c>
      <c r="AV11" s="133">
        <v>267.59682899999996</v>
      </c>
      <c r="AW11" s="135">
        <f t="shared" si="0"/>
        <v>60.123000000000005</v>
      </c>
      <c r="AX11" s="135">
        <f t="shared" si="1"/>
        <v>1337.9795257999999</v>
      </c>
    </row>
    <row r="12" spans="1:59" ht="23.45" customHeight="1">
      <c r="A12" s="132">
        <v>10</v>
      </c>
      <c r="B12" s="96" t="s">
        <v>101</v>
      </c>
      <c r="C12" s="133">
        <v>40.607999999999997</v>
      </c>
      <c r="D12" s="133">
        <v>202.69399999999999</v>
      </c>
      <c r="E12" s="133">
        <v>2.3410000000000002</v>
      </c>
      <c r="F12" s="133">
        <v>34.131</v>
      </c>
      <c r="G12" s="133">
        <v>2.1030000000000002</v>
      </c>
      <c r="H12" s="133">
        <v>29.678999999999998</v>
      </c>
      <c r="I12" s="133">
        <v>79.756</v>
      </c>
      <c r="J12" s="133">
        <v>252.459</v>
      </c>
      <c r="K12" s="133">
        <v>19.533999999999999</v>
      </c>
      <c r="L12" s="133">
        <v>319.86700000000002</v>
      </c>
      <c r="M12" s="133">
        <v>3.6339999999999999</v>
      </c>
      <c r="N12" s="133">
        <v>70.094999999999999</v>
      </c>
      <c r="O12" s="133">
        <v>1.804</v>
      </c>
      <c r="P12" s="133">
        <v>23.291</v>
      </c>
      <c r="Q12" s="133">
        <v>22.422000000000001</v>
      </c>
      <c r="R12" s="133">
        <v>303.24400000000003</v>
      </c>
      <c r="S12" s="133">
        <v>4.6989999999999998</v>
      </c>
      <c r="T12" s="133">
        <v>43.408999999999999</v>
      </c>
      <c r="U12" s="133">
        <v>15.932</v>
      </c>
      <c r="V12" s="133">
        <v>256.35500000000002</v>
      </c>
      <c r="W12" s="133">
        <v>2.7450000000000001</v>
      </c>
      <c r="X12" s="133">
        <v>20.138000000000002</v>
      </c>
      <c r="Y12" s="133">
        <v>7.3449999999999998</v>
      </c>
      <c r="Z12" s="133">
        <v>113.485</v>
      </c>
      <c r="AA12" s="111">
        <v>17.593</v>
      </c>
      <c r="AB12" s="111">
        <v>277.18900000000002</v>
      </c>
      <c r="AC12" s="133">
        <v>0.92400000000000004</v>
      </c>
      <c r="AD12" s="133">
        <v>0.64600000000000002</v>
      </c>
      <c r="AE12" s="133">
        <v>16.442</v>
      </c>
      <c r="AF12" s="133">
        <v>429.20400000000001</v>
      </c>
      <c r="AG12" s="111">
        <v>49.268999999999998</v>
      </c>
      <c r="AH12" s="111">
        <v>699.23400000000004</v>
      </c>
      <c r="AI12" s="133">
        <v>4.4640000000000004</v>
      </c>
      <c r="AJ12" s="133">
        <v>84.867999999999995</v>
      </c>
      <c r="AK12" s="133">
        <v>1.6930000000000001</v>
      </c>
      <c r="AL12" s="133">
        <v>50.713000000000001</v>
      </c>
      <c r="AM12" s="133">
        <v>8.3000000000000004E-2</v>
      </c>
      <c r="AN12" s="133">
        <v>1.9219999999999999</v>
      </c>
      <c r="AO12" s="133"/>
      <c r="AP12" s="133"/>
      <c r="AQ12" s="133">
        <v>23.041</v>
      </c>
      <c r="AR12" s="133">
        <v>291.26499999999999</v>
      </c>
      <c r="AS12" s="133"/>
      <c r="AT12" s="133">
        <v>5.8</v>
      </c>
      <c r="AU12" s="133">
        <f>0.009+0.047+0.866+0.484+20.846</f>
        <v>22.251999999999999</v>
      </c>
      <c r="AV12" s="133">
        <f>0.628+0.723+19.544+11.284+292.267</f>
        <v>324.44600000000003</v>
      </c>
      <c r="AW12" s="135">
        <f t="shared" si="0"/>
        <v>338.68399999999997</v>
      </c>
      <c r="AX12" s="135">
        <f t="shared" si="1"/>
        <v>3834.134</v>
      </c>
    </row>
    <row r="13" spans="1:59" ht="23.45" customHeight="1">
      <c r="A13" s="132">
        <v>11</v>
      </c>
      <c r="B13" s="96" t="s">
        <v>129</v>
      </c>
      <c r="C13" s="133">
        <v>13.157</v>
      </c>
      <c r="D13" s="133">
        <v>142.208</v>
      </c>
      <c r="E13" s="133">
        <v>1.89</v>
      </c>
      <c r="F13" s="133">
        <v>18.645</v>
      </c>
      <c r="G13" s="133">
        <v>0.96799999999999997</v>
      </c>
      <c r="H13" s="133">
        <v>12.83</v>
      </c>
      <c r="I13" s="133">
        <v>8.8640000000000008</v>
      </c>
      <c r="J13" s="133">
        <v>271.43799999999999</v>
      </c>
      <c r="K13" s="133">
        <v>8.2520000000000007</v>
      </c>
      <c r="L13" s="133">
        <v>187.232</v>
      </c>
      <c r="M13" s="133">
        <v>2.3439999999999999</v>
      </c>
      <c r="N13" s="133">
        <v>32.993000000000002</v>
      </c>
      <c r="O13" s="133">
        <v>2.8490000000000002</v>
      </c>
      <c r="P13" s="133">
        <v>51.530999999999999</v>
      </c>
      <c r="Q13" s="133">
        <v>3.7349999999999999</v>
      </c>
      <c r="R13" s="133">
        <v>67.966999999999999</v>
      </c>
      <c r="S13" s="133">
        <v>5.0209999999999999</v>
      </c>
      <c r="T13" s="133">
        <v>82.15</v>
      </c>
      <c r="U13" s="133">
        <v>54.802</v>
      </c>
      <c r="V13" s="133">
        <v>630.63099999999997</v>
      </c>
      <c r="W13" s="133">
        <v>0.54900000000000004</v>
      </c>
      <c r="X13" s="133">
        <v>21.052</v>
      </c>
      <c r="Y13" s="133">
        <v>4.4770000000000003</v>
      </c>
      <c r="Z13" s="133">
        <v>58.091999999999999</v>
      </c>
      <c r="AA13" s="133">
        <v>231.83500000000001</v>
      </c>
      <c r="AB13" s="133">
        <v>2779.4969999999998</v>
      </c>
      <c r="AC13" s="133">
        <v>0.26400000000000001</v>
      </c>
      <c r="AD13" s="133">
        <v>4.8</v>
      </c>
      <c r="AE13" s="133">
        <v>2.331</v>
      </c>
      <c r="AF13" s="133">
        <v>28.064</v>
      </c>
      <c r="AG13" s="111">
        <v>26.032</v>
      </c>
      <c r="AH13" s="111">
        <v>335.99900000000002</v>
      </c>
      <c r="AI13" s="133">
        <v>1.3839999999999999</v>
      </c>
      <c r="AJ13" s="133">
        <v>15.858000000000001</v>
      </c>
      <c r="AK13" s="133">
        <v>3.1859999999999999</v>
      </c>
      <c r="AL13" s="133">
        <v>83.137</v>
      </c>
      <c r="AM13" s="133">
        <v>3.85</v>
      </c>
      <c r="AN13" s="133">
        <v>50.59</v>
      </c>
      <c r="AO13" s="133">
        <v>0.378</v>
      </c>
      <c r="AP13" s="133">
        <v>4.8339999999999996</v>
      </c>
      <c r="AQ13" s="133">
        <v>70.099999999999994</v>
      </c>
      <c r="AR13" s="133">
        <v>2104.6799999999998</v>
      </c>
      <c r="AS13" s="133"/>
      <c r="AT13" s="133">
        <v>1.73</v>
      </c>
      <c r="AU13" s="133">
        <f>0.084+3.653+3.392+4.417+0.494+1.686</f>
        <v>13.725999999999999</v>
      </c>
      <c r="AV13" s="133">
        <f>1.593+37.377+33.1+52.981+11.651+30.812</f>
        <v>167.51400000000001</v>
      </c>
      <c r="AW13" s="135">
        <f t="shared" si="0"/>
        <v>459.99400000000003</v>
      </c>
      <c r="AX13" s="135">
        <f t="shared" si="1"/>
        <v>7153.4719999999988</v>
      </c>
    </row>
    <row r="14" spans="1:59" ht="23.45" customHeight="1">
      <c r="A14" s="132">
        <v>12</v>
      </c>
      <c r="B14" s="96" t="s">
        <v>103</v>
      </c>
      <c r="C14" s="133">
        <v>0.60499999999999998</v>
      </c>
      <c r="D14" s="133">
        <v>10.573</v>
      </c>
      <c r="E14" s="133">
        <v>2.1419999999999999</v>
      </c>
      <c r="F14" s="133">
        <v>20.373999999999999</v>
      </c>
      <c r="G14" s="133">
        <v>0.22900000000000001</v>
      </c>
      <c r="H14" s="133">
        <v>1.615</v>
      </c>
      <c r="I14" s="133">
        <v>1.3180000000000001</v>
      </c>
      <c r="J14" s="133">
        <v>11.927</v>
      </c>
      <c r="K14" s="133">
        <v>0.17299999999999999</v>
      </c>
      <c r="L14" s="133">
        <v>8.1479999999999997</v>
      </c>
      <c r="M14" s="133"/>
      <c r="N14" s="133"/>
      <c r="O14" s="133">
        <v>0.64400000000000002</v>
      </c>
      <c r="P14" s="133">
        <v>10.452999999999999</v>
      </c>
      <c r="Q14" s="133">
        <v>1.6E-2</v>
      </c>
      <c r="R14" s="133">
        <v>0.111</v>
      </c>
      <c r="S14" s="133">
        <v>1.046</v>
      </c>
      <c r="T14" s="133">
        <v>10.951000000000001</v>
      </c>
      <c r="U14" s="133">
        <v>1.7190000000000001</v>
      </c>
      <c r="V14" s="133">
        <v>7.6529999999999996</v>
      </c>
      <c r="W14" s="133">
        <v>5.9089999999999998</v>
      </c>
      <c r="X14" s="133">
        <v>88.304000000000002</v>
      </c>
      <c r="Y14" s="133">
        <v>1.454</v>
      </c>
      <c r="Z14" s="133">
        <v>10.532999999999999</v>
      </c>
      <c r="AA14" s="111">
        <v>8.0000000000000002E-3</v>
      </c>
      <c r="AB14" s="111">
        <v>8.3000000000000004E-2</v>
      </c>
      <c r="AC14" s="133">
        <v>1.673</v>
      </c>
      <c r="AD14" s="133">
        <v>11.638</v>
      </c>
      <c r="AE14" s="133">
        <v>5.617</v>
      </c>
      <c r="AF14" s="133">
        <v>40.426000000000002</v>
      </c>
      <c r="AG14" s="111">
        <v>0.434</v>
      </c>
      <c r="AH14" s="111">
        <v>5.8109999999999999</v>
      </c>
      <c r="AI14" s="133">
        <v>5.0000000000000001E-3</v>
      </c>
      <c r="AJ14" s="133">
        <v>2.8000000000000001E-2</v>
      </c>
      <c r="AK14" s="133">
        <v>1.2829999999999999</v>
      </c>
      <c r="AL14" s="133">
        <v>14.532</v>
      </c>
      <c r="AM14" s="133">
        <v>0.23699999999999999</v>
      </c>
      <c r="AN14" s="133">
        <v>2.625</v>
      </c>
      <c r="AO14" s="133">
        <v>65.089200000000005</v>
      </c>
      <c r="AP14" s="133">
        <v>3105.7579999999998</v>
      </c>
      <c r="AQ14" s="133">
        <v>0.42899999999999999</v>
      </c>
      <c r="AR14" s="133">
        <v>5.5129999999999999</v>
      </c>
      <c r="AS14" s="133"/>
      <c r="AT14" s="133">
        <v>0.05</v>
      </c>
      <c r="AU14" s="133">
        <f>1.032+0.001+6.416+0.171+2.013+19.5</f>
        <v>29.132999999999999</v>
      </c>
      <c r="AV14" s="133">
        <f>11.437+0.008+51.998+1.435+14.827+0.001+176.478</f>
        <v>256.18400000000003</v>
      </c>
      <c r="AW14" s="135">
        <f t="shared" si="0"/>
        <v>119.1632</v>
      </c>
      <c r="AX14" s="135">
        <f t="shared" si="1"/>
        <v>3623.29</v>
      </c>
    </row>
    <row r="15" spans="1:59" ht="23.45" customHeight="1">
      <c r="A15" s="132">
        <v>13</v>
      </c>
      <c r="B15" s="96" t="s">
        <v>104</v>
      </c>
      <c r="C15" s="134">
        <v>13.42</v>
      </c>
      <c r="D15" s="134">
        <v>131.24</v>
      </c>
      <c r="E15" s="133">
        <v>20.39</v>
      </c>
      <c r="F15" s="133">
        <v>269.55</v>
      </c>
      <c r="G15" s="133">
        <v>25.14</v>
      </c>
      <c r="H15" s="133">
        <v>454.25</v>
      </c>
      <c r="I15" s="133">
        <v>63.76</v>
      </c>
      <c r="J15" s="133">
        <v>1350.55</v>
      </c>
      <c r="K15" s="133">
        <v>40.18</v>
      </c>
      <c r="L15" s="133">
        <v>942.38</v>
      </c>
      <c r="M15" s="133">
        <v>2.2799999999999998</v>
      </c>
      <c r="N15" s="133">
        <v>43.67</v>
      </c>
      <c r="O15" s="133">
        <v>9.6999999999999993</v>
      </c>
      <c r="P15" s="133">
        <v>180.61</v>
      </c>
      <c r="Q15" s="133">
        <v>61.16</v>
      </c>
      <c r="R15" s="133">
        <v>1368.67</v>
      </c>
      <c r="S15" s="133">
        <v>15.85</v>
      </c>
      <c r="T15" s="133">
        <v>258.19</v>
      </c>
      <c r="U15" s="133">
        <v>53.26</v>
      </c>
      <c r="V15" s="133">
        <v>812.27</v>
      </c>
      <c r="W15" s="133">
        <v>0.97</v>
      </c>
      <c r="X15" s="133">
        <v>14.6</v>
      </c>
      <c r="Y15" s="133">
        <v>57.87</v>
      </c>
      <c r="Z15" s="133">
        <v>815.9</v>
      </c>
      <c r="AA15" s="133">
        <v>197</v>
      </c>
      <c r="AB15" s="133">
        <v>4741</v>
      </c>
      <c r="AC15" s="111">
        <v>0.83</v>
      </c>
      <c r="AD15" s="111">
        <v>12.9</v>
      </c>
      <c r="AE15" s="133">
        <v>114.84</v>
      </c>
      <c r="AF15" s="133">
        <v>1172.77</v>
      </c>
      <c r="AG15" s="133">
        <v>158.4</v>
      </c>
      <c r="AH15" s="133">
        <v>3587.9</v>
      </c>
      <c r="AI15" s="111">
        <v>14.91</v>
      </c>
      <c r="AJ15" s="111">
        <v>221.36</v>
      </c>
      <c r="AK15" s="133">
        <v>26.07</v>
      </c>
      <c r="AL15" s="133">
        <v>577.15</v>
      </c>
      <c r="AM15" s="133">
        <v>6.57</v>
      </c>
      <c r="AN15" s="133">
        <v>103.16</v>
      </c>
      <c r="AO15" s="133">
        <v>0.65</v>
      </c>
      <c r="AP15" s="133">
        <v>10.17</v>
      </c>
      <c r="AQ15" s="133">
        <v>102.37</v>
      </c>
      <c r="AR15" s="133">
        <v>2760.16</v>
      </c>
      <c r="AS15" s="133"/>
      <c r="AT15" s="133">
        <v>1.73</v>
      </c>
      <c r="AU15" s="133">
        <v>134.03</v>
      </c>
      <c r="AV15" s="133">
        <v>1797.34</v>
      </c>
      <c r="AW15" s="135">
        <f t="shared" si="0"/>
        <v>1119.6500000000001</v>
      </c>
      <c r="AX15" s="135">
        <f t="shared" si="1"/>
        <v>21627.519999999997</v>
      </c>
    </row>
    <row r="16" spans="1:59" ht="23.45" customHeight="1">
      <c r="A16" s="132">
        <v>14</v>
      </c>
      <c r="B16" s="96" t="s">
        <v>105</v>
      </c>
      <c r="C16" s="133">
        <v>11.654999999999999</v>
      </c>
      <c r="D16" s="133">
        <v>62.598999999999997</v>
      </c>
      <c r="E16" s="133">
        <v>3.504</v>
      </c>
      <c r="F16" s="133">
        <v>32.616999999999997</v>
      </c>
      <c r="G16" s="133">
        <v>2.863</v>
      </c>
      <c r="H16" s="133">
        <v>55.588999999999999</v>
      </c>
      <c r="I16" s="133">
        <v>19.163</v>
      </c>
      <c r="J16" s="133">
        <v>326.16199999999998</v>
      </c>
      <c r="K16" s="133">
        <v>10.048999999999999</v>
      </c>
      <c r="L16" s="133">
        <v>172.767</v>
      </c>
      <c r="M16" s="133">
        <v>2.9790000000000001</v>
      </c>
      <c r="N16" s="133">
        <v>30.236999999999998</v>
      </c>
      <c r="O16" s="133">
        <v>1.9650000000000001</v>
      </c>
      <c r="P16" s="133">
        <v>24.218</v>
      </c>
      <c r="Q16" s="133">
        <v>11.318</v>
      </c>
      <c r="R16" s="133">
        <v>198.93700000000001</v>
      </c>
      <c r="S16" s="133">
        <v>5.2949999999999999</v>
      </c>
      <c r="T16" s="133">
        <v>74.254000000000005</v>
      </c>
      <c r="U16" s="133">
        <v>31.88</v>
      </c>
      <c r="V16" s="133">
        <v>354.12700000000001</v>
      </c>
      <c r="W16" s="133"/>
      <c r="X16" s="133"/>
      <c r="Y16" s="133">
        <v>14.343</v>
      </c>
      <c r="Z16" s="133">
        <v>141.65100000000001</v>
      </c>
      <c r="AA16" s="111">
        <v>946.00000000000011</v>
      </c>
      <c r="AB16" s="111">
        <v>13669</v>
      </c>
      <c r="AC16" s="133">
        <v>0.03</v>
      </c>
      <c r="AD16" s="133">
        <v>0.14499999999999999</v>
      </c>
      <c r="AE16" s="133">
        <v>6.2930000000000001</v>
      </c>
      <c r="AF16" s="133">
        <v>34.034999999999997</v>
      </c>
      <c r="AG16" s="111">
        <v>19.359000000000002</v>
      </c>
      <c r="AH16" s="111">
        <v>386.96899999999999</v>
      </c>
      <c r="AI16" s="133">
        <v>1.5369999999999999</v>
      </c>
      <c r="AJ16" s="133">
        <v>13.875999999999999</v>
      </c>
      <c r="AK16" s="133">
        <v>0.17899999999999999</v>
      </c>
      <c r="AL16" s="133">
        <v>1.9</v>
      </c>
      <c r="AM16" s="133">
        <v>1.7090000000000001</v>
      </c>
      <c r="AN16" s="133">
        <v>9.9329999999999998</v>
      </c>
      <c r="AO16" s="133"/>
      <c r="AP16" s="133"/>
      <c r="AQ16" s="133">
        <v>63.470000000000006</v>
      </c>
      <c r="AR16" s="133">
        <v>1243.22</v>
      </c>
      <c r="AS16" s="133"/>
      <c r="AT16" s="133"/>
      <c r="AU16" s="133">
        <f>0.117+2.281+0.143+23.839+8.676+3.565</f>
        <v>38.620999999999995</v>
      </c>
      <c r="AV16" s="133">
        <f>4.68+22.787+1.061+188.159+62.748+40.508</f>
        <v>319.94299999999998</v>
      </c>
      <c r="AW16" s="135">
        <f t="shared" si="0"/>
        <v>1192.2120000000002</v>
      </c>
      <c r="AX16" s="135">
        <f t="shared" si="1"/>
        <v>17152.179</v>
      </c>
      <c r="BE16" s="138"/>
      <c r="BF16" s="138"/>
      <c r="BG16" s="138"/>
    </row>
    <row r="17" spans="1:59" ht="23.45" customHeight="1">
      <c r="A17" s="132">
        <v>15</v>
      </c>
      <c r="B17" s="108" t="s">
        <v>106</v>
      </c>
      <c r="C17" s="133">
        <v>0.32</v>
      </c>
      <c r="D17" s="133">
        <v>3.887</v>
      </c>
      <c r="E17" s="133"/>
      <c r="F17" s="133"/>
      <c r="G17" s="133"/>
      <c r="H17" s="133"/>
      <c r="I17" s="133">
        <v>0.129</v>
      </c>
      <c r="J17" s="133">
        <v>1.641</v>
      </c>
      <c r="K17" s="133">
        <v>7.109</v>
      </c>
      <c r="L17" s="133">
        <v>110.89</v>
      </c>
      <c r="M17" s="133">
        <f>0.001+0.00842</f>
        <v>9.4200000000000013E-3</v>
      </c>
      <c r="N17" s="133">
        <f>0.007+0.10691</f>
        <v>0.11391000000000001</v>
      </c>
      <c r="O17" s="133"/>
      <c r="P17" s="133"/>
      <c r="Q17" s="133">
        <v>3.1110000000000002</v>
      </c>
      <c r="R17" s="133">
        <v>34.100999999999999</v>
      </c>
      <c r="S17" s="133">
        <f>0.18+0.02041</f>
        <v>0.20041</v>
      </c>
      <c r="T17" s="133">
        <f>1.399+0.18514</f>
        <v>1.5841400000000001</v>
      </c>
      <c r="U17" s="133">
        <f>0.534+0.09048</f>
        <v>0.62448000000000004</v>
      </c>
      <c r="V17" s="133">
        <f>0.20211+3.693</f>
        <v>3.8951099999999999</v>
      </c>
      <c r="W17" s="133"/>
      <c r="X17" s="133"/>
      <c r="Y17" s="133">
        <v>0.36299999999999999</v>
      </c>
      <c r="Z17" s="133">
        <v>2.7469999999999999</v>
      </c>
      <c r="AA17" s="111">
        <v>0.53900000000000003</v>
      </c>
      <c r="AB17" s="111">
        <v>5.1920000000000002</v>
      </c>
      <c r="AC17" s="133"/>
      <c r="AD17" s="133"/>
      <c r="AE17" s="133">
        <v>7.51</v>
      </c>
      <c r="AF17" s="133">
        <v>76.424999999999997</v>
      </c>
      <c r="AG17" s="111">
        <v>0.89</v>
      </c>
      <c r="AH17" s="111">
        <v>13.776</v>
      </c>
      <c r="AI17" s="133"/>
      <c r="AJ17" s="133"/>
      <c r="AK17" s="133"/>
      <c r="AL17" s="133"/>
      <c r="AM17" s="133"/>
      <c r="AN17" s="133"/>
      <c r="AO17" s="133"/>
      <c r="AP17" s="133"/>
      <c r="AQ17" s="133">
        <f>3.382+0.0294</f>
        <v>3.4114</v>
      </c>
      <c r="AR17" s="133">
        <f>34.485+0.78175</f>
        <v>35.266750000000002</v>
      </c>
      <c r="AS17" s="133"/>
      <c r="AT17" s="133">
        <v>0.04</v>
      </c>
      <c r="AU17" s="133">
        <f>8.664+0.02111</f>
        <v>8.6851099999999999</v>
      </c>
      <c r="AV17" s="133">
        <f>50.101+0.15392</f>
        <v>50.254919999999998</v>
      </c>
      <c r="AW17" s="135">
        <f t="shared" si="0"/>
        <v>32.901820000000001</v>
      </c>
      <c r="AX17" s="135">
        <f t="shared" si="1"/>
        <v>339.81383000000005</v>
      </c>
      <c r="BE17" s="138"/>
      <c r="BF17" s="138"/>
      <c r="BG17" s="138"/>
    </row>
    <row r="18" spans="1:59" s="138" customFormat="1" ht="23.45" customHeight="1">
      <c r="A18" s="132">
        <v>16</v>
      </c>
      <c r="B18" s="96" t="s">
        <v>107</v>
      </c>
      <c r="C18" s="133">
        <v>1.01</v>
      </c>
      <c r="D18" s="133">
        <v>7.3109999999999999</v>
      </c>
      <c r="E18" s="133">
        <v>0.64100000000000001</v>
      </c>
      <c r="F18" s="133">
        <v>6.3150000000000004</v>
      </c>
      <c r="G18" s="133">
        <v>0.76900000000000002</v>
      </c>
      <c r="H18" s="133">
        <v>9.4969999999999999</v>
      </c>
      <c r="I18" s="133">
        <v>1.101</v>
      </c>
      <c r="J18" s="133">
        <v>15.412000000000001</v>
      </c>
      <c r="K18" s="133">
        <v>1.9610000000000001</v>
      </c>
      <c r="L18" s="133">
        <v>43.091000000000001</v>
      </c>
      <c r="M18" s="133">
        <v>0.63300000000000001</v>
      </c>
      <c r="N18" s="133">
        <v>5.1630000000000003</v>
      </c>
      <c r="O18" s="133">
        <v>1.2809999999999999</v>
      </c>
      <c r="P18" s="133">
        <v>23.89</v>
      </c>
      <c r="Q18" s="133">
        <v>1.266</v>
      </c>
      <c r="R18" s="133">
        <v>21.3</v>
      </c>
      <c r="S18" s="133">
        <v>0.625</v>
      </c>
      <c r="T18" s="133">
        <v>5.2130000000000001</v>
      </c>
      <c r="U18" s="133"/>
      <c r="V18" s="133"/>
      <c r="W18" s="133"/>
      <c r="X18" s="133"/>
      <c r="Y18" s="133">
        <v>0.52100000000000002</v>
      </c>
      <c r="Z18" s="133">
        <v>3.9980000000000002</v>
      </c>
      <c r="AA18" s="111">
        <v>0.56899999999999995</v>
      </c>
      <c r="AB18" s="111">
        <v>5.12</v>
      </c>
      <c r="AC18" s="133"/>
      <c r="AD18" s="133"/>
      <c r="AE18" s="133"/>
      <c r="AF18" s="133"/>
      <c r="AG18" s="111">
        <v>18.925000000000001</v>
      </c>
      <c r="AH18" s="111">
        <v>187.21700000000001</v>
      </c>
      <c r="AI18" s="133">
        <v>1.5720000000000001</v>
      </c>
      <c r="AJ18" s="133">
        <v>30.369</v>
      </c>
      <c r="AK18" s="133">
        <v>1.427</v>
      </c>
      <c r="AL18" s="133">
        <v>18.943000000000001</v>
      </c>
      <c r="AM18" s="133">
        <v>4.9400000000000004</v>
      </c>
      <c r="AN18" s="133">
        <v>16.646000000000001</v>
      </c>
      <c r="AO18" s="133">
        <v>5.4409999999999998</v>
      </c>
      <c r="AP18" s="133">
        <v>35.789000000000001</v>
      </c>
      <c r="AQ18" s="133">
        <v>2.198</v>
      </c>
      <c r="AR18" s="133">
        <v>35.21</v>
      </c>
      <c r="AS18" s="133"/>
      <c r="AT18" s="133">
        <v>7.0000000000000007E-2</v>
      </c>
      <c r="AU18" s="133">
        <f>0.602+0.325+0.765+1.416+0.701+0.919</f>
        <v>4.7279999999999998</v>
      </c>
      <c r="AV18" s="133">
        <f>11.513+8.718+7.076+9.33+3.186+9.787</f>
        <v>49.61</v>
      </c>
      <c r="AW18" s="135">
        <f t="shared" si="0"/>
        <v>49.608000000000004</v>
      </c>
      <c r="AX18" s="135">
        <f t="shared" si="1"/>
        <v>520.16399999999999</v>
      </c>
      <c r="AY18" s="127"/>
      <c r="AZ18" s="127"/>
      <c r="BA18" s="127"/>
      <c r="BB18" s="127"/>
      <c r="BC18" s="127"/>
      <c r="BD18" s="127"/>
      <c r="BE18" s="127"/>
      <c r="BF18" s="127"/>
      <c r="BG18" s="127"/>
    </row>
    <row r="19" spans="1:59" s="138" customFormat="1" ht="23.45" customHeight="1">
      <c r="A19" s="132">
        <v>17</v>
      </c>
      <c r="B19" s="96" t="s">
        <v>108</v>
      </c>
      <c r="C19" s="133">
        <v>2.556</v>
      </c>
      <c r="D19" s="133">
        <v>6.7850000000000001</v>
      </c>
      <c r="E19" s="133">
        <v>5.2009999999999996</v>
      </c>
      <c r="F19" s="133">
        <v>20.516999999999999</v>
      </c>
      <c r="G19" s="133"/>
      <c r="H19" s="133"/>
      <c r="I19" s="133">
        <v>2.391</v>
      </c>
      <c r="J19" s="133">
        <v>19.420000000000002</v>
      </c>
      <c r="K19" s="133">
        <v>3.8719999999999999</v>
      </c>
      <c r="L19" s="133">
        <v>88.53</v>
      </c>
      <c r="M19" s="133">
        <v>0.33600000000000002</v>
      </c>
      <c r="N19" s="133">
        <v>3.6739999999999999</v>
      </c>
      <c r="O19" s="133">
        <v>0.17599999999999999</v>
      </c>
      <c r="P19" s="133">
        <v>1.847</v>
      </c>
      <c r="Q19" s="133">
        <v>0.13100000000000001</v>
      </c>
      <c r="R19" s="133">
        <v>1.0860000000000001</v>
      </c>
      <c r="S19" s="133">
        <v>0.32</v>
      </c>
      <c r="T19" s="133">
        <v>3.2919999999999998</v>
      </c>
      <c r="U19" s="133"/>
      <c r="V19" s="133"/>
      <c r="W19" s="133"/>
      <c r="X19" s="133"/>
      <c r="Y19" s="133">
        <v>3.6339999999999999</v>
      </c>
      <c r="Z19" s="133">
        <v>25.015000000000001</v>
      </c>
      <c r="AA19" s="111">
        <v>0.27</v>
      </c>
      <c r="AB19" s="111">
        <v>1.8</v>
      </c>
      <c r="AC19" s="133"/>
      <c r="AD19" s="133"/>
      <c r="AE19" s="133">
        <v>0.5</v>
      </c>
      <c r="AF19" s="133">
        <v>2.294</v>
      </c>
      <c r="AG19" s="111">
        <v>0.1</v>
      </c>
      <c r="AH19" s="111">
        <v>0.94499999999999995</v>
      </c>
      <c r="AI19" s="133">
        <v>0.27</v>
      </c>
      <c r="AJ19" s="133">
        <v>1.3640000000000001</v>
      </c>
      <c r="AK19" s="133"/>
      <c r="AL19" s="133"/>
      <c r="AM19" s="133">
        <v>0.1</v>
      </c>
      <c r="AN19" s="133">
        <v>1</v>
      </c>
      <c r="AO19" s="133"/>
      <c r="AP19" s="133"/>
      <c r="AQ19" s="133">
        <v>2.8</v>
      </c>
      <c r="AR19" s="133">
        <v>27.1</v>
      </c>
      <c r="AS19" s="133"/>
      <c r="AT19" s="133">
        <v>0.08</v>
      </c>
      <c r="AU19" s="133">
        <v>18.009</v>
      </c>
      <c r="AV19" s="133">
        <v>19.86</v>
      </c>
      <c r="AW19" s="135">
        <f t="shared" si="0"/>
        <v>40.666000000000004</v>
      </c>
      <c r="AX19" s="135">
        <f t="shared" si="1"/>
        <v>224.60900000000009</v>
      </c>
      <c r="AY19" s="127"/>
      <c r="AZ19" s="127"/>
      <c r="BA19" s="127"/>
      <c r="BB19" s="127"/>
      <c r="BC19" s="127"/>
      <c r="BD19" s="127"/>
      <c r="BE19" s="127"/>
      <c r="BF19" s="127"/>
      <c r="BG19" s="127"/>
    </row>
    <row r="20" spans="1:59" s="138" customFormat="1" ht="23.45" customHeight="1">
      <c r="A20" s="132">
        <v>18</v>
      </c>
      <c r="B20" s="99" t="s">
        <v>109</v>
      </c>
      <c r="C20" s="133">
        <v>2.3319999999999999</v>
      </c>
      <c r="D20" s="133">
        <v>17.603999999999999</v>
      </c>
      <c r="E20" s="133">
        <v>9.2999999999999999E-2</v>
      </c>
      <c r="F20" s="133">
        <v>0.57099999999999995</v>
      </c>
      <c r="G20" s="133">
        <v>0.10299999999999999</v>
      </c>
      <c r="H20" s="133">
        <v>0.84199999999999997</v>
      </c>
      <c r="I20" s="133">
        <v>0.433</v>
      </c>
      <c r="J20" s="133">
        <v>3.4390000000000001</v>
      </c>
      <c r="K20" s="133">
        <v>6.9649999999999999</v>
      </c>
      <c r="L20" s="133">
        <v>118.51600000000001</v>
      </c>
      <c r="M20" s="133">
        <v>7.0000000000000001E-3</v>
      </c>
      <c r="N20" s="133">
        <v>4.2000000000000003E-2</v>
      </c>
      <c r="O20" s="133">
        <v>0.44900000000000001</v>
      </c>
      <c r="P20" s="133">
        <v>4.9720000000000004</v>
      </c>
      <c r="Q20" s="133">
        <v>0.56200000000000006</v>
      </c>
      <c r="R20" s="133">
        <v>3.5950000000000002</v>
      </c>
      <c r="S20" s="133">
        <v>0.67400000000000004</v>
      </c>
      <c r="T20" s="133">
        <v>9.4169999999999998</v>
      </c>
      <c r="U20" s="133">
        <v>4.7939999999999996</v>
      </c>
      <c r="V20" s="133">
        <v>34.182000000000002</v>
      </c>
      <c r="W20" s="133"/>
      <c r="X20" s="133"/>
      <c r="Y20" s="133">
        <v>0.193</v>
      </c>
      <c r="Z20" s="133">
        <v>1.5149999999999999</v>
      </c>
      <c r="AA20" s="111">
        <v>0.60199999999999998</v>
      </c>
      <c r="AB20" s="111">
        <v>5.548</v>
      </c>
      <c r="AC20" s="133"/>
      <c r="AD20" s="133"/>
      <c r="AE20" s="133">
        <v>1.528</v>
      </c>
      <c r="AF20" s="133">
        <v>8.343</v>
      </c>
      <c r="AG20" s="111">
        <v>4.3449999999999998</v>
      </c>
      <c r="AH20" s="111">
        <v>54.533000000000001</v>
      </c>
      <c r="AI20" s="133">
        <v>0.47</v>
      </c>
      <c r="AJ20" s="133">
        <v>4.4969999999999999</v>
      </c>
      <c r="AK20" s="133">
        <v>0.52600000000000002</v>
      </c>
      <c r="AL20" s="133">
        <v>7.085</v>
      </c>
      <c r="AM20" s="133">
        <v>0.95299999999999996</v>
      </c>
      <c r="AN20" s="133">
        <v>10.385</v>
      </c>
      <c r="AO20" s="133">
        <v>4.7</v>
      </c>
      <c r="AP20" s="133">
        <v>73.263000000000005</v>
      </c>
      <c r="AQ20" s="133">
        <v>2.6930000000000001</v>
      </c>
      <c r="AR20" s="133">
        <v>19.888999999999999</v>
      </c>
      <c r="AS20" s="133"/>
      <c r="AT20" s="133">
        <v>0.12</v>
      </c>
      <c r="AU20" s="133">
        <v>8.6920000000000002</v>
      </c>
      <c r="AV20" s="133">
        <v>75.906000000000006</v>
      </c>
      <c r="AW20" s="135">
        <f t="shared" si="0"/>
        <v>41.113999999999997</v>
      </c>
      <c r="AX20" s="135">
        <f t="shared" si="1"/>
        <v>454.26399999999995</v>
      </c>
      <c r="AY20" s="127"/>
      <c r="AZ20" s="127"/>
      <c r="BA20" s="127"/>
      <c r="BB20" s="127"/>
      <c r="BC20" s="127"/>
      <c r="BD20" s="127"/>
    </row>
    <row r="21" spans="1:59" s="138" customFormat="1" ht="23.45" customHeight="1">
      <c r="A21" s="132">
        <v>19</v>
      </c>
      <c r="B21" s="96" t="s">
        <v>110</v>
      </c>
      <c r="C21" s="133">
        <v>11.21</v>
      </c>
      <c r="D21" s="133">
        <v>57.56</v>
      </c>
      <c r="E21" s="133">
        <v>11.74</v>
      </c>
      <c r="F21" s="133">
        <v>116.96</v>
      </c>
      <c r="G21" s="133">
        <v>10.58</v>
      </c>
      <c r="H21" s="133">
        <v>146.06</v>
      </c>
      <c r="I21" s="133">
        <v>126.27</v>
      </c>
      <c r="J21" s="133">
        <v>2127.5100000000002</v>
      </c>
      <c r="K21" s="133">
        <v>41.31</v>
      </c>
      <c r="L21" s="133">
        <v>1130.56</v>
      </c>
      <c r="M21" s="133">
        <v>0.56000000000000005</v>
      </c>
      <c r="N21" s="133">
        <v>7.95</v>
      </c>
      <c r="O21" s="133">
        <v>0.49</v>
      </c>
      <c r="P21" s="133">
        <v>5.0199999999999996</v>
      </c>
      <c r="Q21" s="133">
        <v>40.57</v>
      </c>
      <c r="R21" s="133">
        <v>642.86</v>
      </c>
      <c r="S21" s="133">
        <v>3.29</v>
      </c>
      <c r="T21" s="133">
        <v>54.65</v>
      </c>
      <c r="U21" s="133"/>
      <c r="V21" s="133"/>
      <c r="W21" s="133"/>
      <c r="X21" s="133"/>
      <c r="Y21" s="133">
        <v>65.510000000000005</v>
      </c>
      <c r="Z21" s="133">
        <v>662.66</v>
      </c>
      <c r="AA21" s="111">
        <v>30.78</v>
      </c>
      <c r="AB21" s="111">
        <v>359.47</v>
      </c>
      <c r="AC21" s="133">
        <v>4.99</v>
      </c>
      <c r="AD21" s="133">
        <v>65.98</v>
      </c>
      <c r="AE21" s="133">
        <v>5.68</v>
      </c>
      <c r="AF21" s="133">
        <v>50.67</v>
      </c>
      <c r="AG21" s="111">
        <v>26.9</v>
      </c>
      <c r="AH21" s="111">
        <v>320.72000000000003</v>
      </c>
      <c r="AI21" s="133">
        <v>13.22</v>
      </c>
      <c r="AJ21" s="133">
        <v>138.07</v>
      </c>
      <c r="AK21" s="133">
        <v>21.7</v>
      </c>
      <c r="AL21" s="133">
        <v>466.02</v>
      </c>
      <c r="AM21" s="133">
        <v>34.01</v>
      </c>
      <c r="AN21" s="133">
        <v>330.61</v>
      </c>
      <c r="AO21" s="133">
        <v>1.5</v>
      </c>
      <c r="AP21" s="133">
        <v>23.15</v>
      </c>
      <c r="AQ21" s="133">
        <v>96.84</v>
      </c>
      <c r="AR21" s="133">
        <v>1466.2</v>
      </c>
      <c r="AS21" s="133"/>
      <c r="AT21" s="133">
        <v>26</v>
      </c>
      <c r="AU21" s="133">
        <f>23.26+32.87+1.04+19.31+7.48+21.7+19.68+3.6+2.76</f>
        <v>131.69999999999999</v>
      </c>
      <c r="AV21" s="133">
        <f>248.39+282.29+10.65+234.03+127.2+152.47+230.06+38.28+49.27</f>
        <v>1372.6399999999999</v>
      </c>
      <c r="AW21" s="135">
        <f t="shared" si="0"/>
        <v>678.85000000000014</v>
      </c>
      <c r="AX21" s="135">
        <f t="shared" si="1"/>
        <v>9571.3199999999979</v>
      </c>
      <c r="AY21" s="127"/>
      <c r="AZ21" s="127"/>
      <c r="BA21" s="127"/>
      <c r="BB21" s="127"/>
      <c r="BC21" s="127"/>
      <c r="BD21" s="127"/>
    </row>
    <row r="22" spans="1:59" s="138" customFormat="1" ht="23.45" customHeight="1">
      <c r="A22" s="132">
        <v>20</v>
      </c>
      <c r="B22" s="96" t="s">
        <v>111</v>
      </c>
      <c r="C22" s="133"/>
      <c r="D22" s="133"/>
      <c r="E22" s="133">
        <v>3</v>
      </c>
      <c r="F22" s="133">
        <v>50.651000000000003</v>
      </c>
      <c r="G22" s="133">
        <v>10.57</v>
      </c>
      <c r="H22" s="133">
        <v>184.92</v>
      </c>
      <c r="I22" s="133">
        <v>5.468</v>
      </c>
      <c r="J22" s="133">
        <v>139.85</v>
      </c>
      <c r="K22" s="133">
        <v>7.9859999999999998</v>
      </c>
      <c r="L22" s="133">
        <v>129.18199999999999</v>
      </c>
      <c r="M22" s="133">
        <v>1.5129999999999999</v>
      </c>
      <c r="N22" s="133">
        <v>33.893000000000001</v>
      </c>
      <c r="O22" s="133">
        <v>9.2750000000000004</v>
      </c>
      <c r="P22" s="133">
        <v>225.61500000000001</v>
      </c>
      <c r="Q22" s="133">
        <v>23.006</v>
      </c>
      <c r="R22" s="133">
        <v>451.30900000000003</v>
      </c>
      <c r="S22" s="133">
        <v>3.996</v>
      </c>
      <c r="T22" s="133">
        <v>109.087</v>
      </c>
      <c r="U22" s="133">
        <v>8.7859999999999996</v>
      </c>
      <c r="V22" s="133">
        <v>17.739000000000001</v>
      </c>
      <c r="W22" s="133"/>
      <c r="X22" s="133"/>
      <c r="Y22" s="111">
        <v>5.3179999999999996</v>
      </c>
      <c r="Z22" s="111">
        <v>55.02</v>
      </c>
      <c r="AA22" s="133">
        <v>10.366</v>
      </c>
      <c r="AB22" s="133">
        <v>247.084</v>
      </c>
      <c r="AC22" s="133"/>
      <c r="AD22" s="133"/>
      <c r="AE22" s="133">
        <v>43.89</v>
      </c>
      <c r="AF22" s="133">
        <v>467.16500000000002</v>
      </c>
      <c r="AG22" s="111">
        <v>110</v>
      </c>
      <c r="AH22" s="111">
        <v>2850</v>
      </c>
      <c r="AI22" s="133">
        <v>16.123000000000001</v>
      </c>
      <c r="AJ22" s="133">
        <v>386.65199999999999</v>
      </c>
      <c r="AK22" s="133">
        <v>0.45</v>
      </c>
      <c r="AL22" s="133">
        <v>7.843</v>
      </c>
      <c r="AM22" s="133"/>
      <c r="AN22" s="133"/>
      <c r="AO22" s="133"/>
      <c r="AP22" s="133"/>
      <c r="AQ22" s="133">
        <v>10.278</v>
      </c>
      <c r="AR22" s="133">
        <v>267.07400000000001</v>
      </c>
      <c r="AS22" s="133"/>
      <c r="AT22" s="133">
        <v>18.75</v>
      </c>
      <c r="AU22" s="133">
        <f>17.953+2.768</f>
        <v>20.721</v>
      </c>
      <c r="AV22" s="133">
        <f>44.866+90.08</f>
        <v>134.946</v>
      </c>
      <c r="AW22" s="135">
        <f t="shared" si="0"/>
        <v>290.74599999999998</v>
      </c>
      <c r="AX22" s="135">
        <f t="shared" si="1"/>
        <v>5776.78</v>
      </c>
      <c r="AY22" s="127"/>
      <c r="AZ22" s="127"/>
      <c r="BA22" s="127"/>
      <c r="BB22" s="127"/>
      <c r="BC22" s="127"/>
      <c r="BD22" s="127"/>
    </row>
    <row r="23" spans="1:59" s="138" customFormat="1" ht="23.45" customHeight="1">
      <c r="A23" s="132">
        <v>21</v>
      </c>
      <c r="B23" s="96" t="s">
        <v>112</v>
      </c>
      <c r="C23" s="133">
        <v>1.673</v>
      </c>
      <c r="D23" s="133">
        <v>4.8929999999999998</v>
      </c>
      <c r="E23" s="133">
        <v>0.81499999999999995</v>
      </c>
      <c r="F23" s="133">
        <v>1.883</v>
      </c>
      <c r="G23" s="133">
        <v>5.0670000000000002</v>
      </c>
      <c r="H23" s="133">
        <v>26.196999999999999</v>
      </c>
      <c r="I23" s="133">
        <v>4.6509999999999998</v>
      </c>
      <c r="J23" s="133">
        <v>21.198</v>
      </c>
      <c r="K23" s="133">
        <v>0.98</v>
      </c>
      <c r="L23" s="133">
        <v>12.458</v>
      </c>
      <c r="M23" s="133"/>
      <c r="N23" s="133"/>
      <c r="O23" s="133">
        <v>4.077</v>
      </c>
      <c r="P23" s="133">
        <v>15.669</v>
      </c>
      <c r="Q23" s="133">
        <v>10.243</v>
      </c>
      <c r="R23" s="133">
        <v>50.96</v>
      </c>
      <c r="S23" s="133">
        <v>3.5609999999999999</v>
      </c>
      <c r="T23" s="133">
        <v>15.757999999999999</v>
      </c>
      <c r="U23" s="133">
        <v>7.7969999999999997</v>
      </c>
      <c r="V23" s="133">
        <v>26.803999999999998</v>
      </c>
      <c r="W23" s="133"/>
      <c r="X23" s="133"/>
      <c r="Y23" s="133">
        <v>4.5190000000000001</v>
      </c>
      <c r="Z23" s="133">
        <v>20.571999999999999</v>
      </c>
      <c r="AA23" s="111">
        <v>92</v>
      </c>
      <c r="AB23" s="111">
        <v>1591</v>
      </c>
      <c r="AC23" s="133"/>
      <c r="AD23" s="133"/>
      <c r="AE23" s="133">
        <v>11.331</v>
      </c>
      <c r="AF23" s="133">
        <v>27.600999999999999</v>
      </c>
      <c r="AG23" s="111">
        <v>10.978</v>
      </c>
      <c r="AH23" s="111">
        <v>199.57599999999999</v>
      </c>
      <c r="AI23" s="133">
        <v>0.53</v>
      </c>
      <c r="AJ23" s="133">
        <v>4.6580000000000004</v>
      </c>
      <c r="AK23" s="133">
        <v>0.81699999999999995</v>
      </c>
      <c r="AL23" s="133">
        <v>6.4409999999999998</v>
      </c>
      <c r="AM23" s="133">
        <v>1.0489999999999999</v>
      </c>
      <c r="AN23" s="133">
        <v>19.43</v>
      </c>
      <c r="AO23" s="133"/>
      <c r="AP23" s="133"/>
      <c r="AQ23" s="133">
        <v>18.634</v>
      </c>
      <c r="AR23" s="133">
        <v>233.029</v>
      </c>
      <c r="AS23" s="133"/>
      <c r="AT23" s="133">
        <v>14.25</v>
      </c>
      <c r="AU23" s="133">
        <f>0.974+11.086</f>
        <v>12.06</v>
      </c>
      <c r="AV23" s="133">
        <f>35.284+2.435</f>
        <v>37.719000000000001</v>
      </c>
      <c r="AW23" s="135">
        <f t="shared" si="0"/>
        <v>190.78199999999998</v>
      </c>
      <c r="AX23" s="135">
        <f t="shared" si="1"/>
        <v>2330.096</v>
      </c>
      <c r="AY23" s="127"/>
      <c r="AZ23" s="127"/>
      <c r="BA23" s="127"/>
      <c r="BB23" s="127"/>
      <c r="BC23" s="127"/>
      <c r="BD23" s="127"/>
    </row>
    <row r="24" spans="1:59" s="138" customFormat="1" ht="23.45" customHeight="1">
      <c r="A24" s="132">
        <v>22</v>
      </c>
      <c r="B24" s="96" t="s">
        <v>113</v>
      </c>
      <c r="C24" s="133">
        <v>1.468</v>
      </c>
      <c r="D24" s="133">
        <v>7.1040000000000001</v>
      </c>
      <c r="E24" s="133">
        <v>0.54600000000000004</v>
      </c>
      <c r="F24" s="133">
        <v>3.125</v>
      </c>
      <c r="G24" s="133">
        <v>0.72599999999999998</v>
      </c>
      <c r="H24" s="133">
        <v>5.3220000000000001</v>
      </c>
      <c r="I24" s="133">
        <v>0.36399999999999999</v>
      </c>
      <c r="J24" s="133">
        <v>2.4489999999999998</v>
      </c>
      <c r="K24" s="133">
        <v>1.1759999999999999</v>
      </c>
      <c r="L24" s="133">
        <v>6.92</v>
      </c>
      <c r="M24" s="133"/>
      <c r="N24" s="133"/>
      <c r="O24" s="133">
        <v>0.41199999999999998</v>
      </c>
      <c r="P24" s="133">
        <v>2.2909999999999999</v>
      </c>
      <c r="Q24" s="133">
        <v>0.67600000000000005</v>
      </c>
      <c r="R24" s="133">
        <v>4.3479999999999999</v>
      </c>
      <c r="S24" s="133">
        <v>8.4000000000000005E-2</v>
      </c>
      <c r="T24" s="133">
        <v>0.38200000000000001</v>
      </c>
      <c r="U24" s="133">
        <v>0.12</v>
      </c>
      <c r="V24" s="133">
        <v>0.33300000000000002</v>
      </c>
      <c r="W24" s="133"/>
      <c r="X24" s="133"/>
      <c r="Y24" s="133">
        <v>1.5269999999999999</v>
      </c>
      <c r="Z24" s="133">
        <v>8.9550000000000001</v>
      </c>
      <c r="AA24" s="111">
        <v>0.27200000000000002</v>
      </c>
      <c r="AB24" s="111">
        <v>1.6719999999999999</v>
      </c>
      <c r="AC24" s="133"/>
      <c r="AD24" s="133"/>
      <c r="AE24" s="133">
        <v>2.4390000000000001</v>
      </c>
      <c r="AF24" s="133">
        <v>9.3989999999999991</v>
      </c>
      <c r="AG24" s="111">
        <v>6.1619999999999999</v>
      </c>
      <c r="AH24" s="111">
        <v>44.606000000000002</v>
      </c>
      <c r="AI24" s="133">
        <v>0.79200000000000004</v>
      </c>
      <c r="AJ24" s="133">
        <v>5.8310000000000004</v>
      </c>
      <c r="AK24" s="133"/>
      <c r="AL24" s="133"/>
      <c r="AM24" s="133"/>
      <c r="AN24" s="133"/>
      <c r="AO24" s="133"/>
      <c r="AP24" s="133"/>
      <c r="AQ24" s="133">
        <v>0.44400000000000001</v>
      </c>
      <c r="AR24" s="133">
        <v>4.6079999999999997</v>
      </c>
      <c r="AS24" s="133"/>
      <c r="AT24" s="133">
        <v>0.02</v>
      </c>
      <c r="AU24" s="133">
        <f>0.252+3.488+0.097</f>
        <v>3.8370000000000002</v>
      </c>
      <c r="AV24" s="133">
        <f>1.179+15.308+0.351</f>
        <v>16.837999999999997</v>
      </c>
      <c r="AW24" s="135">
        <f t="shared" si="0"/>
        <v>21.045000000000002</v>
      </c>
      <c r="AX24" s="135">
        <f t="shared" si="1"/>
        <v>124.203</v>
      </c>
      <c r="AY24" s="127"/>
      <c r="AZ24" s="127"/>
      <c r="BA24" s="127"/>
      <c r="BB24" s="127"/>
      <c r="BC24" s="127"/>
      <c r="BD24" s="127"/>
    </row>
    <row r="25" spans="1:59" s="138" customFormat="1" ht="23.45" customHeight="1">
      <c r="A25" s="132">
        <v>23</v>
      </c>
      <c r="B25" s="96" t="s">
        <v>114</v>
      </c>
      <c r="C25" s="133">
        <v>6.6509400000000003</v>
      </c>
      <c r="D25" s="133">
        <v>110.90031999999999</v>
      </c>
      <c r="E25" s="133">
        <v>5.86198</v>
      </c>
      <c r="F25" s="133">
        <v>144.69866999999999</v>
      </c>
      <c r="G25" s="133">
        <v>6.2677399999999999</v>
      </c>
      <c r="H25" s="133">
        <v>124.92319999999999</v>
      </c>
      <c r="I25" s="133">
        <v>24.28227</v>
      </c>
      <c r="J25" s="133">
        <v>312.96634</v>
      </c>
      <c r="K25" s="133">
        <v>3.7541199999999999</v>
      </c>
      <c r="L25" s="133">
        <v>254.65705</v>
      </c>
      <c r="M25" s="139">
        <v>0.38514999999999999</v>
      </c>
      <c r="N25" s="133">
        <v>8.3493999999999993</v>
      </c>
      <c r="O25" s="133">
        <v>6.1202899999999998</v>
      </c>
      <c r="P25" s="133">
        <v>149.60890000000001</v>
      </c>
      <c r="Q25" s="133">
        <v>3.8269500000000001</v>
      </c>
      <c r="R25" s="133">
        <v>94.204089999999994</v>
      </c>
      <c r="S25" s="133">
        <v>4.2134200000000002</v>
      </c>
      <c r="T25" s="133">
        <v>39.714449999999999</v>
      </c>
      <c r="U25" s="133">
        <v>13.802020000000001</v>
      </c>
      <c r="V25" s="133">
        <v>382.66091999999998</v>
      </c>
      <c r="W25" s="133">
        <v>4.5967799999999999</v>
      </c>
      <c r="X25" s="133">
        <v>132.88840999999999</v>
      </c>
      <c r="Y25" s="133">
        <v>25.52563</v>
      </c>
      <c r="Z25" s="133">
        <v>245.84578999999999</v>
      </c>
      <c r="AA25" s="111">
        <v>54</v>
      </c>
      <c r="AB25" s="111">
        <v>566</v>
      </c>
      <c r="AC25" s="111"/>
      <c r="AD25" s="111"/>
      <c r="AE25" s="133">
        <v>0.59770999999999996</v>
      </c>
      <c r="AF25" s="133">
        <v>4.7650499999999996</v>
      </c>
      <c r="AG25" s="133">
        <v>4.6257599999999996</v>
      </c>
      <c r="AH25" s="133">
        <v>123.13330000000001</v>
      </c>
      <c r="AI25" s="133">
        <v>2.9591099999999999</v>
      </c>
      <c r="AJ25" s="133">
        <v>105.4025</v>
      </c>
      <c r="AK25" s="133">
        <v>2.7642899999999999</v>
      </c>
      <c r="AL25" s="133">
        <v>62.091589999999997</v>
      </c>
      <c r="AM25" s="133">
        <v>0.49410999999999999</v>
      </c>
      <c r="AN25" s="133">
        <v>8.6152800000000003</v>
      </c>
      <c r="AO25" s="133">
        <v>95.522390000000001</v>
      </c>
      <c r="AP25" s="133">
        <v>3410.3878</v>
      </c>
      <c r="AQ25" s="133">
        <v>54.04</v>
      </c>
      <c r="AR25" s="133">
        <v>1617.8999999999999</v>
      </c>
      <c r="AS25" s="133"/>
      <c r="AT25" s="133">
        <v>12.85</v>
      </c>
      <c r="AU25" s="133">
        <f>1.36653+1.80596+3.12766+11.98114+21.52399+4.42436+0.0104+19.34151</f>
        <v>63.581549999999993</v>
      </c>
      <c r="AV25" s="133">
        <f>17.94336+43.4408+82.12626+149.50523+865.41678+69.29058+0.252+383.42802</f>
        <v>1611.4030300000002</v>
      </c>
      <c r="AW25" s="135">
        <f t="shared" si="0"/>
        <v>383.87221000000005</v>
      </c>
      <c r="AX25" s="135">
        <f t="shared" si="1"/>
        <v>9523.9660899999999</v>
      </c>
      <c r="AY25" s="127"/>
      <c r="AZ25" s="127"/>
      <c r="BA25" s="127"/>
      <c r="BB25" s="127"/>
      <c r="BC25" s="127"/>
      <c r="BD25" s="127"/>
    </row>
    <row r="26" spans="1:59" s="138" customFormat="1" ht="23.45" customHeight="1">
      <c r="A26" s="132">
        <v>24</v>
      </c>
      <c r="B26" s="109" t="s">
        <v>115</v>
      </c>
      <c r="C26" s="133">
        <v>5.67143</v>
      </c>
      <c r="D26" s="133">
        <v>90.655169999999998</v>
      </c>
      <c r="E26" s="133">
        <v>1.9269799999999999</v>
      </c>
      <c r="F26" s="133">
        <v>41.025440000000003</v>
      </c>
      <c r="G26" s="133">
        <v>2.3898199999999998</v>
      </c>
      <c r="H26" s="133">
        <v>47.60772</v>
      </c>
      <c r="I26" s="133">
        <v>3.7896700000000001</v>
      </c>
      <c r="J26" s="133">
        <v>114.35475</v>
      </c>
      <c r="K26" s="136">
        <f>0.80733+0.00203</f>
        <v>0.80935999999999997</v>
      </c>
      <c r="L26" s="133">
        <f>25.21671+0.05025</f>
        <v>25.266959999999997</v>
      </c>
      <c r="M26" s="133">
        <f>0.04243+0.04036</f>
        <v>8.2790000000000002E-2</v>
      </c>
      <c r="N26" s="133">
        <f>1.02893+3.6579</f>
        <v>4.6868300000000005</v>
      </c>
      <c r="O26" s="133">
        <v>2.5702199999999999</v>
      </c>
      <c r="P26" s="133">
        <v>45.596020000000003</v>
      </c>
      <c r="Q26" s="133">
        <v>0.94747000000000003</v>
      </c>
      <c r="R26" s="133">
        <v>21.426939999999998</v>
      </c>
      <c r="S26" s="133">
        <f>2.15209+0.06864</f>
        <v>2.2207299999999996</v>
      </c>
      <c r="T26" s="133">
        <f>38.03926+7.30968</f>
        <v>45.348939999999999</v>
      </c>
      <c r="U26" s="133">
        <v>5.83033</v>
      </c>
      <c r="V26" s="133">
        <v>84.685959999999994</v>
      </c>
      <c r="W26" s="133">
        <v>1.179E-2</v>
      </c>
      <c r="X26" s="133">
        <v>0.48425000000000001</v>
      </c>
      <c r="Y26" s="133">
        <v>4.4099599999999999</v>
      </c>
      <c r="Z26" s="133">
        <v>85.294709999999995</v>
      </c>
      <c r="AA26" s="140">
        <v>9</v>
      </c>
      <c r="AB26" s="140">
        <v>177</v>
      </c>
      <c r="AC26" s="133">
        <v>0.34127999999999997</v>
      </c>
      <c r="AD26" s="133">
        <v>8.2508499999999998</v>
      </c>
      <c r="AE26" s="133">
        <v>1.4019999999999999E-2</v>
      </c>
      <c r="AF26" s="133">
        <v>0.17612</v>
      </c>
      <c r="AG26" s="111">
        <v>1.6194900000000001</v>
      </c>
      <c r="AH26" s="111">
        <v>38.445929999999997</v>
      </c>
      <c r="AI26" s="133">
        <v>3.1309999999999998E-2</v>
      </c>
      <c r="AJ26" s="133">
        <v>0.57816999999999996</v>
      </c>
      <c r="AK26" s="133">
        <v>0.20354</v>
      </c>
      <c r="AL26" s="133">
        <v>10.29632</v>
      </c>
      <c r="AM26" s="133">
        <v>0.19395000000000001</v>
      </c>
      <c r="AN26" s="133">
        <v>3.2065999999999999</v>
      </c>
      <c r="AO26" s="133"/>
      <c r="AP26" s="133"/>
      <c r="AQ26" s="133">
        <v>17.39</v>
      </c>
      <c r="AR26" s="133">
        <v>516.04999999999995</v>
      </c>
      <c r="AS26" s="133"/>
      <c r="AT26" s="133"/>
      <c r="AU26" s="133">
        <f>0.12064+0.78497+0.15687+2.54163+6.59387+4.11433+0.00471+0.25987</f>
        <v>14.576889999999999</v>
      </c>
      <c r="AV26" s="133">
        <f>2.47063+16.82083+3.04605+50.90959+57.3028+125.79548+0.11535+4.72808</f>
        <v>261.18880999999993</v>
      </c>
      <c r="AW26" s="135">
        <f t="shared" si="0"/>
        <v>74.031029999999987</v>
      </c>
      <c r="AX26" s="135">
        <f t="shared" si="1"/>
        <v>1621.6264899999999</v>
      </c>
      <c r="AY26" s="127"/>
      <c r="AZ26" s="127"/>
      <c r="BA26" s="127"/>
      <c r="BB26" s="127"/>
      <c r="BC26" s="127"/>
      <c r="BD26" s="127"/>
    </row>
    <row r="27" spans="1:59" s="138" customFormat="1" ht="23.45" customHeight="1">
      <c r="A27" s="132">
        <v>25</v>
      </c>
      <c r="B27" s="96" t="s">
        <v>116</v>
      </c>
      <c r="C27" s="133">
        <v>1.76</v>
      </c>
      <c r="D27" s="133">
        <v>55.421999999999997</v>
      </c>
      <c r="E27" s="133">
        <v>0.89200000000000002</v>
      </c>
      <c r="F27" s="133">
        <v>8.6430000000000007</v>
      </c>
      <c r="G27" s="133">
        <v>2.1890000000000001</v>
      </c>
      <c r="H27" s="133">
        <v>38.877000000000002</v>
      </c>
      <c r="I27" s="133">
        <v>3.919</v>
      </c>
      <c r="J27" s="133">
        <v>71.599999999999994</v>
      </c>
      <c r="K27" s="133">
        <v>3.121</v>
      </c>
      <c r="L27" s="133">
        <v>123.623</v>
      </c>
      <c r="M27" s="133">
        <v>0.16200000000000001</v>
      </c>
      <c r="N27" s="133">
        <v>1.2729999999999999</v>
      </c>
      <c r="O27" s="133">
        <v>0.45100000000000001</v>
      </c>
      <c r="P27" s="133">
        <v>5.2679999999999998</v>
      </c>
      <c r="Q27" s="133">
        <v>2.778</v>
      </c>
      <c r="R27" s="133">
        <v>98.98</v>
      </c>
      <c r="S27" s="133">
        <v>1.873</v>
      </c>
      <c r="T27" s="133">
        <v>40.381999999999998</v>
      </c>
      <c r="U27" s="133">
        <v>2.7949999999999999</v>
      </c>
      <c r="V27" s="133">
        <v>47.235999999999997</v>
      </c>
      <c r="W27" s="133">
        <v>0.108</v>
      </c>
      <c r="X27" s="133">
        <v>2.294</v>
      </c>
      <c r="Y27" s="133">
        <v>2.0390000000000001</v>
      </c>
      <c r="Z27" s="133">
        <v>19.309000000000001</v>
      </c>
      <c r="AA27" s="111">
        <v>0.17100000000000001</v>
      </c>
      <c r="AB27" s="111">
        <v>1.1000000000000001</v>
      </c>
      <c r="AC27" s="133">
        <v>0.504</v>
      </c>
      <c r="AD27" s="133">
        <v>5.5590000000000002</v>
      </c>
      <c r="AE27" s="133">
        <v>0.51</v>
      </c>
      <c r="AF27" s="133">
        <v>1.9990000000000001</v>
      </c>
      <c r="AG27" s="111">
        <v>7.3259999999999996</v>
      </c>
      <c r="AH27" s="111">
        <v>132.67400000000001</v>
      </c>
      <c r="AI27" s="133">
        <v>3.069</v>
      </c>
      <c r="AJ27" s="133">
        <v>106.003</v>
      </c>
      <c r="AK27" s="133">
        <v>0.88500000000000001</v>
      </c>
      <c r="AL27" s="133">
        <v>17.771000000000001</v>
      </c>
      <c r="AM27" s="133"/>
      <c r="AN27" s="133"/>
      <c r="AO27" s="141"/>
      <c r="AP27" s="141"/>
      <c r="AQ27" s="133">
        <v>1.909</v>
      </c>
      <c r="AR27" s="133">
        <v>88.844999999999999</v>
      </c>
      <c r="AS27" s="133"/>
      <c r="AT27" s="133">
        <v>0.13</v>
      </c>
      <c r="AU27" s="133">
        <f>0.691+0.11+0.195+1.29+1.997+1.188+6.178</f>
        <v>11.649000000000001</v>
      </c>
      <c r="AV27" s="133">
        <f>11.001+0.747+0.431+20.679+52.102+21.123+81.553</f>
        <v>187.636</v>
      </c>
      <c r="AW27" s="135">
        <f t="shared" si="0"/>
        <v>48.110000000000007</v>
      </c>
      <c r="AX27" s="135">
        <f t="shared" si="1"/>
        <v>1054.624</v>
      </c>
      <c r="AY27" s="127"/>
      <c r="AZ27" s="127"/>
      <c r="BA27" s="127"/>
      <c r="BB27" s="127"/>
      <c r="BC27" s="127"/>
      <c r="BD27" s="127"/>
    </row>
    <row r="28" spans="1:59" s="142" customFormat="1" ht="23.45" customHeight="1">
      <c r="A28" s="132">
        <v>26</v>
      </c>
      <c r="B28" s="96" t="s">
        <v>117</v>
      </c>
      <c r="C28" s="133">
        <v>10.736000000000001</v>
      </c>
      <c r="D28" s="133">
        <v>162.66499999999999</v>
      </c>
      <c r="E28" s="133">
        <v>4.7549999999999999</v>
      </c>
      <c r="F28" s="133">
        <v>89.731999999999999</v>
      </c>
      <c r="G28" s="133">
        <v>16.808</v>
      </c>
      <c r="H28" s="133">
        <v>509.43700000000001</v>
      </c>
      <c r="I28" s="133">
        <v>8.8230000000000004</v>
      </c>
      <c r="J28" s="133">
        <v>312.98200000000003</v>
      </c>
      <c r="K28" s="133">
        <v>10.334</v>
      </c>
      <c r="L28" s="133">
        <v>348.93900000000002</v>
      </c>
      <c r="M28" s="133"/>
      <c r="N28" s="133"/>
      <c r="O28" s="133">
        <v>7.0519999999999996</v>
      </c>
      <c r="P28" s="133">
        <v>178.96899999999999</v>
      </c>
      <c r="Q28" s="133">
        <v>18.908999999999999</v>
      </c>
      <c r="R28" s="133">
        <v>436.77199999999999</v>
      </c>
      <c r="S28" s="133">
        <v>4.0910000000000002</v>
      </c>
      <c r="T28" s="133">
        <v>103.739</v>
      </c>
      <c r="U28" s="133">
        <v>31.617999999999999</v>
      </c>
      <c r="V28" s="133">
        <v>77.727999999999994</v>
      </c>
      <c r="W28" s="133"/>
      <c r="X28" s="133"/>
      <c r="Y28" s="133">
        <v>24.8</v>
      </c>
      <c r="Z28" s="133">
        <v>335.86399999999998</v>
      </c>
      <c r="AA28" s="111">
        <v>30</v>
      </c>
      <c r="AB28" s="111">
        <v>509</v>
      </c>
      <c r="AC28" s="133">
        <v>2.488</v>
      </c>
      <c r="AD28" s="133">
        <v>68.114999999999995</v>
      </c>
      <c r="AE28" s="133">
        <v>239.108</v>
      </c>
      <c r="AF28" s="133">
        <v>2745.2809999999999</v>
      </c>
      <c r="AG28" s="111">
        <v>622.5</v>
      </c>
      <c r="AH28" s="111">
        <v>16162</v>
      </c>
      <c r="AI28" s="133">
        <v>6.6379999999999999</v>
      </c>
      <c r="AJ28" s="133">
        <v>173.20099999999999</v>
      </c>
      <c r="AK28" s="133">
        <v>10.414999999999999</v>
      </c>
      <c r="AL28" s="133">
        <v>404.00700000000001</v>
      </c>
      <c r="AM28" s="133">
        <v>18.84</v>
      </c>
      <c r="AN28" s="133">
        <v>254.251</v>
      </c>
      <c r="AO28" s="133"/>
      <c r="AP28" s="133"/>
      <c r="AQ28" s="133">
        <v>22.79</v>
      </c>
      <c r="AR28" s="133">
        <v>909.35</v>
      </c>
      <c r="AS28" s="133"/>
      <c r="AT28" s="133">
        <v>14.6</v>
      </c>
      <c r="AU28" s="133">
        <f>2.224+1.749+10.873+15.052+206.317</f>
        <v>236.215</v>
      </c>
      <c r="AV28" s="133">
        <f>71.217+62.061+183.336+363.701+5457.978</f>
        <v>6138.2929999999997</v>
      </c>
      <c r="AW28" s="135">
        <f t="shared" si="0"/>
        <v>1326.9199999999996</v>
      </c>
      <c r="AX28" s="135">
        <f t="shared" si="1"/>
        <v>29934.924999999996</v>
      </c>
      <c r="AY28" s="127"/>
      <c r="AZ28" s="127"/>
      <c r="BA28" s="127"/>
      <c r="BB28" s="127"/>
      <c r="BC28" s="127"/>
      <c r="BD28" s="127"/>
    </row>
    <row r="29" spans="1:59" s="143" customFormat="1" ht="23.45" customHeight="1">
      <c r="A29" s="132">
        <v>27</v>
      </c>
      <c r="B29" s="96" t="s">
        <v>118</v>
      </c>
      <c r="C29" s="133">
        <v>6.1877800000000001</v>
      </c>
      <c r="D29" s="133">
        <v>42.278199999999998</v>
      </c>
      <c r="E29" s="133"/>
      <c r="F29" s="133"/>
      <c r="G29" s="133"/>
      <c r="H29" s="133"/>
      <c r="I29" s="133">
        <v>2.74803</v>
      </c>
      <c r="J29" s="133">
        <v>32.116430000000001</v>
      </c>
      <c r="K29" s="133">
        <v>6.6042899999999998</v>
      </c>
      <c r="L29" s="133">
        <v>69.352270000000004</v>
      </c>
      <c r="M29" s="133">
        <v>2.8165900000000001</v>
      </c>
      <c r="N29" s="133">
        <v>16.538080000000001</v>
      </c>
      <c r="O29" s="133"/>
      <c r="P29" s="133"/>
      <c r="Q29" s="133">
        <v>3.3851300000000002</v>
      </c>
      <c r="R29" s="133">
        <v>43.415840000000003</v>
      </c>
      <c r="S29" s="133"/>
      <c r="T29" s="133"/>
      <c r="U29" s="133"/>
      <c r="V29" s="133"/>
      <c r="W29" s="133"/>
      <c r="X29" s="133"/>
      <c r="Y29" s="133">
        <v>3.79372</v>
      </c>
      <c r="Z29" s="133">
        <v>27.729900000000001</v>
      </c>
      <c r="AA29" s="111">
        <v>4.4872699999999996</v>
      </c>
      <c r="AB29" s="111">
        <v>45.74297</v>
      </c>
      <c r="AC29" s="133"/>
      <c r="AD29" s="133"/>
      <c r="AE29" s="133">
        <v>13.616529999999999</v>
      </c>
      <c r="AF29" s="133">
        <v>102.98032000000001</v>
      </c>
      <c r="AG29" s="111">
        <v>26.867570000000001</v>
      </c>
      <c r="AH29" s="111">
        <v>367.30919</v>
      </c>
      <c r="AI29" s="133">
        <v>5.2893999999999997</v>
      </c>
      <c r="AJ29" s="133">
        <v>60.517780000000002</v>
      </c>
      <c r="AK29" s="133"/>
      <c r="AL29" s="133"/>
      <c r="AM29" s="133"/>
      <c r="AN29" s="133"/>
      <c r="AO29" s="133"/>
      <c r="AP29" s="133"/>
      <c r="AQ29" s="133">
        <v>9.4162300000000005</v>
      </c>
      <c r="AR29" s="133">
        <v>110.67912</v>
      </c>
      <c r="AS29" s="133"/>
      <c r="AT29" s="133">
        <v>15.75</v>
      </c>
      <c r="AU29" s="133">
        <v>14.622109999999999</v>
      </c>
      <c r="AV29" s="133">
        <v>105.29322000000001</v>
      </c>
      <c r="AW29" s="135">
        <f t="shared" si="0"/>
        <v>99.834650000000011</v>
      </c>
      <c r="AX29" s="135">
        <f t="shared" si="1"/>
        <v>1039.7033200000001</v>
      </c>
      <c r="AY29" s="127"/>
      <c r="AZ29" s="127"/>
      <c r="BA29" s="127"/>
      <c r="BB29" s="127"/>
      <c r="BC29" s="127"/>
      <c r="BD29" s="127"/>
    </row>
    <row r="30" spans="1:59" ht="23.45" customHeight="1">
      <c r="A30" s="132">
        <v>28</v>
      </c>
      <c r="B30" s="96" t="s">
        <v>119</v>
      </c>
      <c r="C30" s="133">
        <v>27.466000000000001</v>
      </c>
      <c r="D30" s="133">
        <v>142.41999999999999</v>
      </c>
      <c r="E30" s="133"/>
      <c r="F30" s="133"/>
      <c r="G30" s="133">
        <v>22.128</v>
      </c>
      <c r="H30" s="133">
        <v>204.53</v>
      </c>
      <c r="I30" s="133">
        <v>169.54300000000001</v>
      </c>
      <c r="J30" s="133">
        <v>3151.5450000000001</v>
      </c>
      <c r="K30" s="133">
        <v>86.155000000000001</v>
      </c>
      <c r="L30" s="133">
        <v>2408.547</v>
      </c>
      <c r="M30" s="133">
        <v>10.17</v>
      </c>
      <c r="N30" s="133">
        <v>172.44399999999999</v>
      </c>
      <c r="O30" s="133">
        <v>13.231</v>
      </c>
      <c r="P30" s="133">
        <v>237.01</v>
      </c>
      <c r="Q30" s="133">
        <v>79.489999999999995</v>
      </c>
      <c r="R30" s="133">
        <v>2037.1869999999999</v>
      </c>
      <c r="S30" s="133">
        <v>25.303000000000001</v>
      </c>
      <c r="T30" s="133">
        <v>344.64600000000002</v>
      </c>
      <c r="U30" s="133">
        <v>63.183</v>
      </c>
      <c r="V30" s="133">
        <v>214.72499999999999</v>
      </c>
      <c r="W30" s="133">
        <v>16.359000000000002</v>
      </c>
      <c r="X30" s="133">
        <v>344.75299999999999</v>
      </c>
      <c r="Y30" s="133">
        <v>82.629000000000005</v>
      </c>
      <c r="Z30" s="133">
        <v>934.50699999999995</v>
      </c>
      <c r="AA30" s="111">
        <v>46</v>
      </c>
      <c r="AB30" s="111">
        <v>896.00000000000011</v>
      </c>
      <c r="AC30" s="133">
        <v>35.686</v>
      </c>
      <c r="AD30" s="133">
        <v>409.625</v>
      </c>
      <c r="AE30" s="133">
        <v>22.425000000000001</v>
      </c>
      <c r="AF30" s="133">
        <v>150.72300000000001</v>
      </c>
      <c r="AG30" s="111">
        <v>447</v>
      </c>
      <c r="AH30" s="111">
        <v>12600</v>
      </c>
      <c r="AI30" s="133">
        <v>41.524999999999999</v>
      </c>
      <c r="AJ30" s="133">
        <v>569.00800000000004</v>
      </c>
      <c r="AK30" s="133">
        <v>21.783999999999999</v>
      </c>
      <c r="AL30" s="133">
        <v>356.51100000000002</v>
      </c>
      <c r="AM30" s="133">
        <v>19.209</v>
      </c>
      <c r="AN30" s="133">
        <v>189.672</v>
      </c>
      <c r="AO30" s="133"/>
      <c r="AP30" s="133"/>
      <c r="AQ30" s="133">
        <v>59.72</v>
      </c>
      <c r="AR30" s="133">
        <v>1258.77</v>
      </c>
      <c r="AS30" s="133"/>
      <c r="AT30" s="133">
        <v>10.93</v>
      </c>
      <c r="AU30" s="133">
        <f>21.773+73.405+148.586</f>
        <v>243.76400000000001</v>
      </c>
      <c r="AV30" s="133">
        <f>435.843+837.972+756.106</f>
        <v>2029.921</v>
      </c>
      <c r="AW30" s="135">
        <f t="shared" si="0"/>
        <v>1532.7700000000004</v>
      </c>
      <c r="AX30" s="135">
        <f t="shared" si="1"/>
        <v>28663.474000000002</v>
      </c>
    </row>
    <row r="31" spans="1:59" ht="23.45" customHeight="1">
      <c r="A31" s="132">
        <v>29</v>
      </c>
      <c r="B31" s="96" t="s">
        <v>185</v>
      </c>
      <c r="C31" s="133">
        <f>'Vegetables (UT''s)'!C10</f>
        <v>3.0000000000000001E-3</v>
      </c>
      <c r="D31" s="133">
        <f>'Vegetables (UT''s)'!D10</f>
        <v>2.9000000000000001E-2</v>
      </c>
      <c r="E31" s="133">
        <f>'Vegetables (UT''s)'!E10</f>
        <v>1.129</v>
      </c>
      <c r="F31" s="133">
        <f>'Vegetables (UT''s)'!F10</f>
        <v>13.886999999999999</v>
      </c>
      <c r="G31" s="133">
        <f>'Vegetables (UT''s)'!G10</f>
        <v>1.2769999999999999</v>
      </c>
      <c r="H31" s="133">
        <f>'Vegetables (UT''s)'!H10</f>
        <v>18.461000000000002</v>
      </c>
      <c r="I31" s="133">
        <f>'Vegetables (UT''s)'!I10</f>
        <v>1.611</v>
      </c>
      <c r="J31" s="133">
        <f>'Vegetables (UT''s)'!J10</f>
        <v>20.321000000000002</v>
      </c>
      <c r="K31" s="133">
        <f>'Vegetables (UT''s)'!K10</f>
        <v>0.1103</v>
      </c>
      <c r="L31" s="133">
        <f>'Vegetables (UT''s)'!L10</f>
        <v>0.98499999999999999</v>
      </c>
      <c r="M31" s="133">
        <f>'Vegetables (UT''s)'!M10</f>
        <v>0</v>
      </c>
      <c r="N31" s="133">
        <f>'Vegetables (UT''s)'!N10</f>
        <v>0</v>
      </c>
      <c r="O31" s="133">
        <f>'Vegetables (UT''s)'!O10</f>
        <v>0.99299999999999999</v>
      </c>
      <c r="P31" s="133">
        <f>'Vegetables (UT''s)'!P10</f>
        <v>19.568000000000001</v>
      </c>
      <c r="Q31" s="133">
        <f>'Vegetables (UT''s)'!Q10</f>
        <v>2.9902000000000002</v>
      </c>
      <c r="R31" s="133">
        <f>'Vegetables (UT''s)'!R10</f>
        <v>48.917000000000002</v>
      </c>
      <c r="S31" s="133">
        <f>'Vegetables (UT''s)'!S10</f>
        <v>0.9920000000000001</v>
      </c>
      <c r="T31" s="133">
        <f>'Vegetables (UT''s)'!T10</f>
        <v>13.110999999999999</v>
      </c>
      <c r="U31" s="133">
        <f>'Vegetables (UT''s)'!U10</f>
        <v>8.5000000000000006E-2</v>
      </c>
      <c r="V31" s="133">
        <f>'Vegetables (UT''s)'!V10</f>
        <v>0.74</v>
      </c>
      <c r="W31" s="133">
        <f>'Vegetables (UT''s)'!W10</f>
        <v>3.0000000000000001E-3</v>
      </c>
      <c r="X31" s="133">
        <f>'Vegetables (UT''s)'!X10</f>
        <v>0.06</v>
      </c>
      <c r="Y31" s="133">
        <f>'Vegetables (UT''s)'!Y10</f>
        <v>1.952</v>
      </c>
      <c r="Z31" s="133">
        <f>'Vegetables (UT''s)'!Z10</f>
        <v>23.423999999999999</v>
      </c>
      <c r="AA31" s="133">
        <f>'Vegetables (UT''s)'!AA10</f>
        <v>0.88400000000000001</v>
      </c>
      <c r="AB31" s="133">
        <f>'Vegetables (UT''s)'!AB10</f>
        <v>16.620999999999999</v>
      </c>
      <c r="AC31" s="133">
        <f>'Vegetables (UT''s)'!AC10</f>
        <v>0</v>
      </c>
      <c r="AD31" s="133">
        <f>'Vegetables (UT''s)'!AD10</f>
        <v>0</v>
      </c>
      <c r="AE31" s="133">
        <f>'Vegetables (UT''s)'!AE10</f>
        <v>0.435</v>
      </c>
      <c r="AF31" s="133">
        <f>'Vegetables (UT''s)'!AF10</f>
        <v>6.6310000000000002</v>
      </c>
      <c r="AG31" s="133">
        <f>'Vegetables (UT''s)'!AG10</f>
        <v>0.69299999999999995</v>
      </c>
      <c r="AH31" s="133">
        <f>'Vegetables (UT''s)'!AH10</f>
        <v>17.135999999999999</v>
      </c>
      <c r="AI31" s="133">
        <f>'Vegetables (UT''s)'!AI10</f>
        <v>2.8339999999999996</v>
      </c>
      <c r="AJ31" s="133">
        <f>'Vegetables (UT''s)'!AJ10</f>
        <v>42.184999999999995</v>
      </c>
      <c r="AK31" s="133">
        <f>'Vegetables (UT''s)'!AK10</f>
        <v>0.55800000000000005</v>
      </c>
      <c r="AL31" s="133">
        <f>'Vegetables (UT''s)'!AL10</f>
        <v>5.9279999999999999</v>
      </c>
      <c r="AM31" s="133">
        <f>'Vegetables (UT''s)'!AM10</f>
        <v>0.13800000000000001</v>
      </c>
      <c r="AN31" s="133">
        <f>'Vegetables (UT''s)'!AN10</f>
        <v>1.123</v>
      </c>
      <c r="AO31" s="133">
        <f>'Vegetables (UT''s)'!AO10</f>
        <v>0.19</v>
      </c>
      <c r="AP31" s="133">
        <f>'Vegetables (UT''s)'!AP10</f>
        <v>4.8010000000000002</v>
      </c>
      <c r="AQ31" s="133">
        <f>'Vegetables (UT''s)'!AQ10</f>
        <v>1.032</v>
      </c>
      <c r="AR31" s="133">
        <f>'Vegetables (UT''s)'!AR10</f>
        <v>14.459999999999999</v>
      </c>
      <c r="AS31" s="133">
        <f>'Vegetables (UT''s)'!AS10</f>
        <v>0</v>
      </c>
      <c r="AT31" s="133">
        <f>'Vegetables (UT''s)'!AT10</f>
        <v>11.22</v>
      </c>
      <c r="AU31" s="133">
        <f>'Vegetables (UT''s)'!AU10</f>
        <v>20.684599999999996</v>
      </c>
      <c r="AV31" s="133">
        <f>'Vegetables (UT''s)'!AV10</f>
        <v>238.643</v>
      </c>
      <c r="AW31" s="135">
        <f t="shared" si="0"/>
        <v>38.594099999999997</v>
      </c>
      <c r="AX31" s="135">
        <f t="shared" si="1"/>
        <v>518.25099999999998</v>
      </c>
    </row>
    <row r="32" spans="1:59" ht="23.45" customHeight="1">
      <c r="A32" s="144"/>
      <c r="B32" s="96" t="s">
        <v>89</v>
      </c>
      <c r="C32" s="135">
        <f>C3+C4+C5+C6+C7+C8+C9+C10+C11+C12+C13+C14+C15+C16+C17+C18+C19+C20+C21+C22+C23+C24+C25+C26+C27+C28+C29+C30+C31</f>
        <v>297.34814999999998</v>
      </c>
      <c r="D32" s="135">
        <f t="shared" ref="D32:AX32" si="2">D3+D4+D5+D6+D7+D8+D9+D10+D11+D12+D13+D14+D15+D16+D17+D18+D19+D20+D21+D22+D23+D24+D25+D26+D27+D28+D29+D30+D31</f>
        <v>2743.6628899999996</v>
      </c>
      <c r="E32" s="135">
        <f t="shared" si="2"/>
        <v>109.81396000000001</v>
      </c>
      <c r="F32" s="135">
        <f t="shared" si="2"/>
        <v>1369.1210100000001</v>
      </c>
      <c r="G32" s="135">
        <f t="shared" si="2"/>
        <v>193.10455999999999</v>
      </c>
      <c r="H32" s="135">
        <f t="shared" si="2"/>
        <v>3170.5845400000003</v>
      </c>
      <c r="I32" s="135">
        <f t="shared" si="2"/>
        <v>747.28496999999993</v>
      </c>
      <c r="J32" s="135">
        <f t="shared" si="2"/>
        <v>12982.352620000003</v>
      </c>
      <c r="K32" s="135">
        <f t="shared" si="2"/>
        <v>417.52506999999997</v>
      </c>
      <c r="L32" s="135">
        <f t="shared" si="2"/>
        <v>9714.8142350000016</v>
      </c>
      <c r="M32" s="135">
        <f t="shared" si="2"/>
        <v>36.246949999999991</v>
      </c>
      <c r="N32" s="135">
        <f t="shared" si="2"/>
        <v>565.49621999999988</v>
      </c>
      <c r="O32" s="135">
        <f t="shared" si="2"/>
        <v>107.61051</v>
      </c>
      <c r="P32" s="135">
        <f t="shared" si="2"/>
        <v>1867.2737420000001</v>
      </c>
      <c r="Q32" s="135">
        <f t="shared" si="2"/>
        <v>479.28875000000005</v>
      </c>
      <c r="R32" s="135">
        <f t="shared" si="2"/>
        <v>9436.69247</v>
      </c>
      <c r="S32" s="135">
        <f t="shared" si="2"/>
        <v>113.31656000000001</v>
      </c>
      <c r="T32" s="135">
        <f t="shared" si="2"/>
        <v>1637.7871300000004</v>
      </c>
      <c r="U32" s="135">
        <f t="shared" si="2"/>
        <v>405.36783000000003</v>
      </c>
      <c r="V32" s="135">
        <f t="shared" si="2"/>
        <v>4272.4136999999992</v>
      </c>
      <c r="W32" s="135">
        <f t="shared" si="2"/>
        <v>41.491569999999996</v>
      </c>
      <c r="X32" s="135">
        <f t="shared" si="2"/>
        <v>928.11965999999984</v>
      </c>
      <c r="Y32" s="135">
        <f t="shared" si="2"/>
        <v>545.95231000000001</v>
      </c>
      <c r="Z32" s="135">
        <f t="shared" si="2"/>
        <v>6700.2447100000009</v>
      </c>
      <c r="AA32" s="135">
        <f t="shared" si="2"/>
        <v>1939.6072700000002</v>
      </c>
      <c r="AB32" s="135">
        <f t="shared" si="2"/>
        <v>31702.92376999999</v>
      </c>
      <c r="AC32" s="135">
        <f t="shared" si="2"/>
        <v>62.852280000000007</v>
      </c>
      <c r="AD32" s="135">
        <f t="shared" si="2"/>
        <v>752.19185000000004</v>
      </c>
      <c r="AE32" s="135">
        <f t="shared" si="2"/>
        <v>582.49026000000003</v>
      </c>
      <c r="AF32" s="135">
        <f t="shared" si="2"/>
        <v>6075.5439387999995</v>
      </c>
      <c r="AG32" s="135">
        <f t="shared" si="2"/>
        <v>2199.8588200000004</v>
      </c>
      <c r="AH32" s="135">
        <f t="shared" si="2"/>
        <v>53574.980941000002</v>
      </c>
      <c r="AI32" s="135">
        <f t="shared" si="2"/>
        <v>206.38682</v>
      </c>
      <c r="AJ32" s="135">
        <f t="shared" si="2"/>
        <v>3303.9388600000007</v>
      </c>
      <c r="AK32" s="135">
        <f t="shared" si="2"/>
        <v>108.80683000000001</v>
      </c>
      <c r="AL32" s="135">
        <f t="shared" si="2"/>
        <v>2299.3161100000002</v>
      </c>
      <c r="AM32" s="135">
        <f t="shared" si="2"/>
        <v>106.35606000000003</v>
      </c>
      <c r="AN32" s="135">
        <f t="shared" si="2"/>
        <v>1159.2998799999998</v>
      </c>
      <c r="AO32" s="135">
        <f t="shared" si="2"/>
        <v>186.37659000000002</v>
      </c>
      <c r="AP32" s="135">
        <f t="shared" si="2"/>
        <v>6852.9588000000003</v>
      </c>
      <c r="AQ32" s="135">
        <f t="shared" si="2"/>
        <v>840.73762999999997</v>
      </c>
      <c r="AR32" s="135">
        <f t="shared" si="2"/>
        <v>20335.767370000001</v>
      </c>
      <c r="AS32" s="135">
        <f t="shared" si="2"/>
        <v>0</v>
      </c>
      <c r="AT32" s="135">
        <f t="shared" si="2"/>
        <v>236.45</v>
      </c>
      <c r="AU32" s="135">
        <f t="shared" si="2"/>
        <v>1552.2677600000002</v>
      </c>
      <c r="AV32" s="135">
        <f t="shared" si="2"/>
        <v>22931.188208999993</v>
      </c>
      <c r="AW32" s="135">
        <f t="shared" si="2"/>
        <v>11280.091510000004</v>
      </c>
      <c r="AX32" s="135">
        <f t="shared" si="2"/>
        <v>204613.12265579996</v>
      </c>
    </row>
    <row r="33" spans="45:48" ht="21.75" customHeight="1">
      <c r="AS33" s="127" t="s">
        <v>250</v>
      </c>
      <c r="AU33" s="145"/>
    </row>
    <row r="34" spans="45:48" ht="21.75" customHeight="1">
      <c r="AV34" s="127" t="s">
        <v>228</v>
      </c>
    </row>
  </sheetData>
  <mergeCells count="24">
    <mergeCell ref="AW1:AX1"/>
    <mergeCell ref="AQ1:AR1"/>
    <mergeCell ref="W1:X1"/>
    <mergeCell ref="Y1:Z1"/>
    <mergeCell ref="AA1:AB1"/>
    <mergeCell ref="AC1:AD1"/>
    <mergeCell ref="AE1:AF1"/>
    <mergeCell ref="O1:P1"/>
    <mergeCell ref="Q1:R1"/>
    <mergeCell ref="AI1:AJ1"/>
    <mergeCell ref="AS1:AT1"/>
    <mergeCell ref="AU1:AV1"/>
    <mergeCell ref="U1:V1"/>
    <mergeCell ref="AG1:AH1"/>
    <mergeCell ref="S1:T1"/>
    <mergeCell ref="AK1:AL1"/>
    <mergeCell ref="AM1:AN1"/>
    <mergeCell ref="AO1:AP1"/>
    <mergeCell ref="M1:N1"/>
    <mergeCell ref="C1:D1"/>
    <mergeCell ref="E1:F1"/>
    <mergeCell ref="G1:H1"/>
    <mergeCell ref="I1:J1"/>
    <mergeCell ref="K1:L1"/>
  </mergeCells>
  <conditionalFormatting sqref="U22:V22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2" right="0.2" top="1.3" bottom="0.34" header="0.74" footer="0.2"/>
  <pageSetup paperSize="9" scale="60" orientation="landscape" r:id="rId1"/>
  <headerFooter>
    <oddHeader>&amp;C&amp;"-,Bold"&amp;20Second Advance Estimates of 2021-22
Area and Production of Vegetable Crops&amp;22 &amp;R&amp;"-,Bold"&amp;12Area in '000 Ha
Production in '000 Tonnes</oddHeader>
    <oddFooter>Page &amp;P of &amp;N</oddFooter>
  </headerFooter>
  <colBreaks count="3" manualBreakCount="3">
    <brk id="14" max="31" man="1"/>
    <brk id="26" max="31" man="1"/>
    <brk id="38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zoomScale="85" zoomScaleNormal="85" workbookViewId="0">
      <selection activeCell="F39" sqref="F39"/>
    </sheetView>
  </sheetViews>
  <sheetFormatPr defaultColWidth="9" defaultRowHeight="36" customHeight="1"/>
  <cols>
    <col min="1" max="1" width="10.125" style="147" customWidth="1"/>
    <col min="2" max="2" width="28.75" style="147" customWidth="1"/>
    <col min="3" max="12" width="15.25" style="147" customWidth="1"/>
    <col min="13" max="13" width="13.5" style="147" customWidth="1"/>
    <col min="14" max="16384" width="9" style="147"/>
  </cols>
  <sheetData>
    <row r="1" spans="1:13" ht="32.25" customHeight="1">
      <c r="A1" s="146" t="s">
        <v>219</v>
      </c>
      <c r="B1" s="146" t="s">
        <v>84</v>
      </c>
      <c r="C1" s="371" t="s">
        <v>85</v>
      </c>
      <c r="D1" s="371"/>
      <c r="E1" s="374" t="s">
        <v>86</v>
      </c>
      <c r="F1" s="374"/>
      <c r="G1" s="374" t="s">
        <v>87</v>
      </c>
      <c r="H1" s="374"/>
      <c r="I1" s="374" t="s">
        <v>88</v>
      </c>
      <c r="J1" s="374"/>
      <c r="K1" s="374" t="s">
        <v>89</v>
      </c>
      <c r="L1" s="374"/>
    </row>
    <row r="2" spans="1:13" ht="21.75" customHeight="1">
      <c r="A2" s="148"/>
      <c r="B2" s="120"/>
      <c r="C2" s="149" t="s">
        <v>90</v>
      </c>
      <c r="D2" s="149" t="s">
        <v>91</v>
      </c>
      <c r="E2" s="149" t="s">
        <v>90</v>
      </c>
      <c r="F2" s="149" t="s">
        <v>91</v>
      </c>
      <c r="G2" s="149" t="s">
        <v>90</v>
      </c>
      <c r="H2" s="149" t="s">
        <v>91</v>
      </c>
      <c r="I2" s="149" t="s">
        <v>90</v>
      </c>
      <c r="J2" s="149" t="s">
        <v>91</v>
      </c>
      <c r="K2" s="149" t="s">
        <v>90</v>
      </c>
      <c r="L2" s="149" t="s">
        <v>91</v>
      </c>
    </row>
    <row r="3" spans="1:13" ht="21.6" customHeight="1">
      <c r="A3" s="150">
        <v>1</v>
      </c>
      <c r="B3" s="96" t="s">
        <v>92</v>
      </c>
      <c r="C3" s="151">
        <v>1.3180000000000001</v>
      </c>
      <c r="D3" s="151">
        <v>10</v>
      </c>
      <c r="E3" s="148">
        <v>197.92</v>
      </c>
      <c r="F3" s="148">
        <v>108.1353</v>
      </c>
      <c r="G3" s="148">
        <v>41.874000000000002</v>
      </c>
      <c r="H3" s="148">
        <v>11.448</v>
      </c>
      <c r="I3" s="148">
        <v>108.06100000000001</v>
      </c>
      <c r="J3" s="148">
        <f>16422.13/1453.24*100</f>
        <v>1130.0356444909307</v>
      </c>
      <c r="K3" s="152">
        <f>C3+E3+G3+I3</f>
        <v>349.173</v>
      </c>
      <c r="L3" s="152">
        <f>D3+F3+H3+J3</f>
        <v>1259.6189444909307</v>
      </c>
    </row>
    <row r="4" spans="1:13" ht="21.6" customHeight="1">
      <c r="A4" s="150">
        <v>2</v>
      </c>
      <c r="B4" s="99" t="s">
        <v>93</v>
      </c>
      <c r="C4" s="148">
        <v>2.605</v>
      </c>
      <c r="D4" s="148">
        <v>11.555999999999999</v>
      </c>
      <c r="E4" s="148"/>
      <c r="F4" s="148"/>
      <c r="G4" s="148"/>
      <c r="H4" s="148"/>
      <c r="I4" s="148">
        <v>6.5000000000000002E-2</v>
      </c>
      <c r="J4" s="148">
        <f>3/1453.24*100</f>
        <v>0.20643527565990474</v>
      </c>
      <c r="K4" s="152">
        <f t="shared" ref="K4:K31" si="0">C4+E4+G4+I4</f>
        <v>2.67</v>
      </c>
      <c r="L4" s="152">
        <f t="shared" ref="L4:L31" si="1">D4+F4+H4+J4</f>
        <v>11.762435275659904</v>
      </c>
    </row>
    <row r="5" spans="1:13" ht="21.6" customHeight="1">
      <c r="A5" s="150">
        <v>3</v>
      </c>
      <c r="B5" s="96" t="s">
        <v>94</v>
      </c>
      <c r="C5" s="151">
        <v>67.164000000000001</v>
      </c>
      <c r="D5" s="151">
        <v>50.667000000000002</v>
      </c>
      <c r="E5" s="148">
        <v>1.05</v>
      </c>
      <c r="F5" s="148">
        <v>1.115</v>
      </c>
      <c r="G5" s="148"/>
      <c r="H5" s="148"/>
      <c r="I5" s="148">
        <v>21.026</v>
      </c>
      <c r="J5" s="148">
        <f>156866/1453.24</f>
        <v>107.94225317222207</v>
      </c>
      <c r="K5" s="152">
        <f t="shared" si="0"/>
        <v>89.24</v>
      </c>
      <c r="L5" s="152">
        <f t="shared" si="1"/>
        <v>159.72425317222206</v>
      </c>
    </row>
    <row r="6" spans="1:13" ht="21.6" customHeight="1">
      <c r="A6" s="150">
        <v>4</v>
      </c>
      <c r="B6" s="96" t="s">
        <v>95</v>
      </c>
      <c r="C6" s="148"/>
      <c r="D6" s="148"/>
      <c r="E6" s="148"/>
      <c r="F6" s="148"/>
      <c r="G6" s="148"/>
      <c r="H6" s="148"/>
      <c r="I6" s="148">
        <v>12.154999999999999</v>
      </c>
      <c r="J6" s="153">
        <f>78564/1453.24</f>
        <v>54.061269989815862</v>
      </c>
      <c r="K6" s="152">
        <f t="shared" si="0"/>
        <v>12.154999999999999</v>
      </c>
      <c r="L6" s="152">
        <f t="shared" si="1"/>
        <v>54.061269989815862</v>
      </c>
    </row>
    <row r="7" spans="1:13" ht="21.6" customHeight="1">
      <c r="A7" s="150">
        <v>5</v>
      </c>
      <c r="B7" s="96" t="s">
        <v>96</v>
      </c>
      <c r="C7" s="148"/>
      <c r="D7" s="148"/>
      <c r="E7" s="148">
        <v>32.408000000000001</v>
      </c>
      <c r="F7" s="148">
        <v>21.440999999999999</v>
      </c>
      <c r="G7" s="148"/>
      <c r="H7" s="148"/>
      <c r="I7" s="148">
        <v>1.6040000000000001</v>
      </c>
      <c r="J7" s="148">
        <f>13594/1453.24</f>
        <v>9.3542704577358187</v>
      </c>
      <c r="K7" s="152">
        <f t="shared" si="0"/>
        <v>34.012</v>
      </c>
      <c r="L7" s="152">
        <f t="shared" si="1"/>
        <v>30.795270457735818</v>
      </c>
    </row>
    <row r="8" spans="1:13" ht="21.6" customHeight="1">
      <c r="A8" s="150">
        <v>6</v>
      </c>
      <c r="B8" s="96" t="s">
        <v>97</v>
      </c>
      <c r="C8" s="148"/>
      <c r="D8" s="148"/>
      <c r="E8" s="148">
        <v>9.6660000000000004</v>
      </c>
      <c r="F8" s="148">
        <v>6.7370000000000001</v>
      </c>
      <c r="G8" s="148"/>
      <c r="H8" s="148"/>
      <c r="I8" s="148">
        <v>24.997</v>
      </c>
      <c r="J8" s="148">
        <f>214000/1453.24</f>
        <v>147.25716330406539</v>
      </c>
      <c r="K8" s="152">
        <f t="shared" si="0"/>
        <v>34.662999999999997</v>
      </c>
      <c r="L8" s="152">
        <f t="shared" si="1"/>
        <v>153.99416330406538</v>
      </c>
      <c r="M8" s="147" t="s">
        <v>228</v>
      </c>
    </row>
    <row r="9" spans="1:13" ht="21.6" customHeight="1">
      <c r="A9" s="150">
        <v>7</v>
      </c>
      <c r="B9" s="96" t="s">
        <v>98</v>
      </c>
      <c r="C9" s="148"/>
      <c r="D9" s="148"/>
      <c r="E9" s="148"/>
      <c r="F9" s="148"/>
      <c r="G9" s="148"/>
      <c r="H9" s="148"/>
      <c r="I9" s="148"/>
      <c r="J9" s="148"/>
      <c r="K9" s="152">
        <f t="shared" si="0"/>
        <v>0</v>
      </c>
      <c r="L9" s="152">
        <f t="shared" si="1"/>
        <v>0</v>
      </c>
    </row>
    <row r="10" spans="1:13" ht="21.6" customHeight="1">
      <c r="A10" s="150">
        <v>8</v>
      </c>
      <c r="B10" s="96" t="s">
        <v>99</v>
      </c>
      <c r="C10" s="148"/>
      <c r="D10" s="148"/>
      <c r="E10" s="148"/>
      <c r="F10" s="148"/>
      <c r="G10" s="148"/>
      <c r="H10" s="148"/>
      <c r="I10" s="148"/>
      <c r="J10" s="148"/>
      <c r="K10" s="152">
        <f t="shared" si="0"/>
        <v>0</v>
      </c>
      <c r="L10" s="152">
        <f t="shared" si="1"/>
        <v>0</v>
      </c>
    </row>
    <row r="11" spans="1:13" ht="21.6" customHeight="1">
      <c r="A11" s="150">
        <v>9</v>
      </c>
      <c r="B11" s="96" t="s">
        <v>100</v>
      </c>
      <c r="C11" s="148"/>
      <c r="D11" s="148"/>
      <c r="E11" s="148"/>
      <c r="F11" s="148"/>
      <c r="G11" s="148"/>
      <c r="H11" s="148"/>
      <c r="I11" s="148"/>
      <c r="J11" s="148"/>
      <c r="K11" s="152">
        <f t="shared" si="0"/>
        <v>0</v>
      </c>
      <c r="L11" s="152">
        <f t="shared" si="1"/>
        <v>0</v>
      </c>
    </row>
    <row r="12" spans="1:13" ht="21.6" customHeight="1">
      <c r="A12" s="150">
        <v>10</v>
      </c>
      <c r="B12" s="96" t="s">
        <v>101</v>
      </c>
      <c r="C12" s="148"/>
      <c r="D12" s="148"/>
      <c r="E12" s="148">
        <v>15.58</v>
      </c>
      <c r="F12" s="148">
        <v>6.3529999999999998</v>
      </c>
      <c r="G12" s="148"/>
      <c r="H12" s="148"/>
      <c r="I12" s="148"/>
      <c r="J12" s="148"/>
      <c r="K12" s="152">
        <f t="shared" si="0"/>
        <v>15.58</v>
      </c>
      <c r="L12" s="152">
        <f t="shared" si="1"/>
        <v>6.3529999999999998</v>
      </c>
    </row>
    <row r="13" spans="1:13" ht="21.6" customHeight="1">
      <c r="A13" s="150">
        <v>11</v>
      </c>
      <c r="B13" s="96" t="s">
        <v>102</v>
      </c>
      <c r="C13" s="151">
        <v>540</v>
      </c>
      <c r="D13" s="151">
        <v>1100</v>
      </c>
      <c r="E13" s="148">
        <v>137.91</v>
      </c>
      <c r="F13" s="148">
        <v>66.183549999999997</v>
      </c>
      <c r="G13" s="148">
        <v>14.215999999999999</v>
      </c>
      <c r="H13" s="148">
        <v>3.9049999999999998</v>
      </c>
      <c r="I13" s="148">
        <v>557.32600000000002</v>
      </c>
      <c r="J13" s="148">
        <f>59105/1453.24*100</f>
        <v>4067.1189892928901</v>
      </c>
      <c r="K13" s="152">
        <f t="shared" si="0"/>
        <v>1249.452</v>
      </c>
      <c r="L13" s="152">
        <f t="shared" si="1"/>
        <v>5237.20753929289</v>
      </c>
    </row>
    <row r="14" spans="1:13" s="154" customFormat="1" ht="21.6" customHeight="1">
      <c r="A14" s="150">
        <v>12</v>
      </c>
      <c r="B14" s="96" t="s">
        <v>103</v>
      </c>
      <c r="C14" s="151">
        <v>96.222999999999999</v>
      </c>
      <c r="D14" s="151">
        <v>104.227</v>
      </c>
      <c r="E14" s="148">
        <v>106.69</v>
      </c>
      <c r="F14" s="148">
        <v>65.245999999999995</v>
      </c>
      <c r="G14" s="148">
        <v>17.920000000000002</v>
      </c>
      <c r="H14" s="148">
        <v>10.130000000000001</v>
      </c>
      <c r="I14" s="148">
        <v>767.79899999999998</v>
      </c>
      <c r="J14" s="148">
        <f>48070/1453.24*100</f>
        <v>3307.7812336572074</v>
      </c>
      <c r="K14" s="152">
        <f t="shared" si="0"/>
        <v>988.63200000000006</v>
      </c>
      <c r="L14" s="152">
        <f t="shared" si="1"/>
        <v>3487.3842336572075</v>
      </c>
    </row>
    <row r="15" spans="1:13" ht="21.6" customHeight="1">
      <c r="A15" s="150">
        <v>13</v>
      </c>
      <c r="B15" s="96" t="s">
        <v>104</v>
      </c>
      <c r="C15" s="148"/>
      <c r="D15" s="148"/>
      <c r="E15" s="148"/>
      <c r="F15" s="148"/>
      <c r="G15" s="148"/>
      <c r="H15" s="148"/>
      <c r="I15" s="148"/>
      <c r="J15" s="148"/>
      <c r="K15" s="152">
        <f t="shared" si="0"/>
        <v>0</v>
      </c>
      <c r="L15" s="152">
        <f t="shared" si="1"/>
        <v>0</v>
      </c>
    </row>
    <row r="16" spans="1:13" ht="21.6" customHeight="1">
      <c r="A16" s="150">
        <v>14</v>
      </c>
      <c r="B16" s="96" t="s">
        <v>105</v>
      </c>
      <c r="C16" s="151">
        <v>3.2850000000000001</v>
      </c>
      <c r="D16" s="151">
        <v>4.1619999999999999</v>
      </c>
      <c r="E16" s="148">
        <v>191.45</v>
      </c>
      <c r="F16" s="148">
        <v>169.74924999999999</v>
      </c>
      <c r="G16" s="148"/>
      <c r="H16" s="148"/>
      <c r="I16" s="148">
        <v>30.173999999999999</v>
      </c>
      <c r="J16" s="148">
        <v>145.07</v>
      </c>
      <c r="K16" s="152">
        <f t="shared" si="0"/>
        <v>224.90899999999999</v>
      </c>
      <c r="L16" s="152">
        <f t="shared" si="1"/>
        <v>318.98124999999999</v>
      </c>
    </row>
    <row r="17" spans="1:12" ht="21.6" customHeight="1">
      <c r="A17" s="150">
        <v>15</v>
      </c>
      <c r="B17" s="108" t="s">
        <v>106</v>
      </c>
      <c r="C17" s="148"/>
      <c r="D17" s="148"/>
      <c r="E17" s="148">
        <v>0.9</v>
      </c>
      <c r="F17" s="148">
        <v>0.32</v>
      </c>
      <c r="G17" s="148"/>
      <c r="H17" s="148"/>
      <c r="I17" s="148"/>
      <c r="J17" s="148"/>
      <c r="K17" s="152">
        <f t="shared" si="0"/>
        <v>0.9</v>
      </c>
      <c r="L17" s="152">
        <f t="shared" si="1"/>
        <v>0.32</v>
      </c>
    </row>
    <row r="18" spans="1:12" ht="21.6" customHeight="1">
      <c r="A18" s="150">
        <v>16</v>
      </c>
      <c r="B18" s="96" t="s">
        <v>107</v>
      </c>
      <c r="C18" s="151">
        <v>18.218</v>
      </c>
      <c r="D18" s="151">
        <v>24.001000000000001</v>
      </c>
      <c r="E18" s="148">
        <v>8.7799999999999994</v>
      </c>
      <c r="F18" s="148">
        <v>9.9749999999999996</v>
      </c>
      <c r="G18" s="148"/>
      <c r="H18" s="148"/>
      <c r="I18" s="148"/>
      <c r="J18" s="148"/>
      <c r="K18" s="152">
        <f t="shared" si="0"/>
        <v>26.997999999999998</v>
      </c>
      <c r="L18" s="152">
        <f t="shared" si="1"/>
        <v>33.975999999999999</v>
      </c>
    </row>
    <row r="19" spans="1:12" ht="21.6" customHeight="1">
      <c r="A19" s="150">
        <v>17</v>
      </c>
      <c r="B19" s="96" t="s">
        <v>108</v>
      </c>
      <c r="C19" s="151">
        <v>14.112</v>
      </c>
      <c r="D19" s="151">
        <v>14.1</v>
      </c>
      <c r="E19" s="148"/>
      <c r="F19" s="148"/>
      <c r="G19" s="148"/>
      <c r="H19" s="148"/>
      <c r="I19" s="148">
        <v>3.4000000000000002E-2</v>
      </c>
      <c r="J19" s="148">
        <v>0.10199999999999999</v>
      </c>
      <c r="K19" s="152">
        <f t="shared" si="0"/>
        <v>14.146000000000001</v>
      </c>
      <c r="L19" s="152">
        <f t="shared" si="1"/>
        <v>14.202</v>
      </c>
    </row>
    <row r="20" spans="1:12" ht="21.6" customHeight="1">
      <c r="A20" s="150">
        <v>18</v>
      </c>
      <c r="B20" s="99" t="s">
        <v>109</v>
      </c>
      <c r="C20" s="151">
        <v>0.28199999999999997</v>
      </c>
      <c r="D20" s="151">
        <v>1.637</v>
      </c>
      <c r="E20" s="148">
        <v>2</v>
      </c>
      <c r="F20" s="148">
        <v>0.53300000000000003</v>
      </c>
      <c r="G20" s="148"/>
      <c r="H20" s="148"/>
      <c r="I20" s="148">
        <v>1.0649999999999999</v>
      </c>
      <c r="J20" s="148">
        <f>9346/1453.24</f>
        <v>6.4311469543915667</v>
      </c>
      <c r="K20" s="152">
        <f t="shared" si="0"/>
        <v>3.347</v>
      </c>
      <c r="L20" s="152">
        <f t="shared" si="1"/>
        <v>8.6011469543915666</v>
      </c>
    </row>
    <row r="21" spans="1:12" ht="21.6" customHeight="1">
      <c r="A21" s="150">
        <v>19</v>
      </c>
      <c r="B21" s="96" t="s">
        <v>110</v>
      </c>
      <c r="C21" s="148"/>
      <c r="D21" s="148"/>
      <c r="E21" s="148">
        <v>223.45</v>
      </c>
      <c r="F21" s="148">
        <v>109.14749999999999</v>
      </c>
      <c r="G21" s="148"/>
      <c r="H21" s="148"/>
      <c r="I21" s="148">
        <v>52.74</v>
      </c>
      <c r="J21" s="148">
        <f>3972.06/1453.24*100</f>
        <v>273.32443367922707</v>
      </c>
      <c r="K21" s="152">
        <f t="shared" si="0"/>
        <v>276.19</v>
      </c>
      <c r="L21" s="152">
        <f t="shared" si="1"/>
        <v>382.47193367922705</v>
      </c>
    </row>
    <row r="22" spans="1:12" ht="21.6" customHeight="1">
      <c r="A22" s="150">
        <v>20</v>
      </c>
      <c r="B22" s="96" t="s">
        <v>111</v>
      </c>
      <c r="C22" s="148"/>
      <c r="D22" s="148"/>
      <c r="E22" s="148"/>
      <c r="F22" s="148"/>
      <c r="G22" s="148"/>
      <c r="H22" s="148"/>
      <c r="I22" s="148"/>
      <c r="J22" s="148"/>
      <c r="K22" s="152">
        <f t="shared" si="0"/>
        <v>0</v>
      </c>
      <c r="L22" s="152">
        <f t="shared" si="1"/>
        <v>0</v>
      </c>
    </row>
    <row r="23" spans="1:12" ht="21.6" customHeight="1">
      <c r="A23" s="150">
        <v>21</v>
      </c>
      <c r="B23" s="96" t="s">
        <v>112</v>
      </c>
      <c r="C23" s="148"/>
      <c r="D23" s="148"/>
      <c r="E23" s="148"/>
      <c r="F23" s="148"/>
      <c r="G23" s="148"/>
      <c r="H23" s="148"/>
      <c r="I23" s="148"/>
      <c r="J23" s="148"/>
      <c r="K23" s="152">
        <f t="shared" si="0"/>
        <v>0</v>
      </c>
      <c r="L23" s="152">
        <f t="shared" si="1"/>
        <v>0</v>
      </c>
    </row>
    <row r="24" spans="1:12" ht="21.6" customHeight="1">
      <c r="A24" s="150">
        <v>22</v>
      </c>
      <c r="B24" s="96" t="s">
        <v>113</v>
      </c>
      <c r="C24" s="148"/>
      <c r="D24" s="148"/>
      <c r="E24" s="148"/>
      <c r="F24" s="148"/>
      <c r="G24" s="148"/>
      <c r="H24" s="148"/>
      <c r="I24" s="148"/>
      <c r="J24" s="148"/>
      <c r="K24" s="152">
        <f t="shared" si="0"/>
        <v>0</v>
      </c>
      <c r="L24" s="152">
        <f t="shared" si="1"/>
        <v>0</v>
      </c>
    </row>
    <row r="25" spans="1:12" ht="21.6" customHeight="1">
      <c r="A25" s="150">
        <v>23</v>
      </c>
      <c r="B25" s="96" t="s">
        <v>114</v>
      </c>
      <c r="C25" s="151">
        <v>9.0510000000000002</v>
      </c>
      <c r="D25" s="151">
        <v>17.972999999999999</v>
      </c>
      <c r="E25" s="148">
        <v>166.99</v>
      </c>
      <c r="F25" s="148">
        <v>77.296999999999997</v>
      </c>
      <c r="G25" s="148">
        <v>32.08</v>
      </c>
      <c r="H25" s="148">
        <v>2.9430000000000001</v>
      </c>
      <c r="I25" s="148">
        <v>444.92099999999999</v>
      </c>
      <c r="J25" s="148">
        <v>3515.2802000000001</v>
      </c>
      <c r="K25" s="152">
        <f t="shared" si="0"/>
        <v>653.04199999999992</v>
      </c>
      <c r="L25" s="152">
        <f t="shared" si="1"/>
        <v>3613.4932000000003</v>
      </c>
    </row>
    <row r="26" spans="1:12" ht="21.6" customHeight="1">
      <c r="A26" s="150">
        <v>24</v>
      </c>
      <c r="B26" s="109" t="s">
        <v>115</v>
      </c>
      <c r="C26" s="148"/>
      <c r="D26" s="148"/>
      <c r="E26" s="148"/>
      <c r="F26" s="148"/>
      <c r="G26" s="148"/>
      <c r="H26" s="148"/>
      <c r="I26" s="148">
        <v>1.11988</v>
      </c>
      <c r="J26" s="148">
        <f>88.05/1453.24*100</f>
        <v>6.0588753406182052</v>
      </c>
      <c r="K26" s="152">
        <f t="shared" si="0"/>
        <v>1.11988</v>
      </c>
      <c r="L26" s="152">
        <f t="shared" si="1"/>
        <v>6.0588753406182052</v>
      </c>
    </row>
    <row r="27" spans="1:12" ht="21.6" customHeight="1">
      <c r="A27" s="150">
        <v>25</v>
      </c>
      <c r="B27" s="96" t="s">
        <v>116</v>
      </c>
      <c r="C27" s="151">
        <v>6.3550000000000004</v>
      </c>
      <c r="D27" s="151">
        <v>20.507000000000001</v>
      </c>
      <c r="E27" s="148">
        <v>4.25</v>
      </c>
      <c r="F27" s="148">
        <v>3.4049999999999998</v>
      </c>
      <c r="G27" s="148"/>
      <c r="H27" s="148"/>
      <c r="I27" s="148">
        <v>4.6779999999999999</v>
      </c>
      <c r="J27" s="148">
        <v>12.911</v>
      </c>
      <c r="K27" s="152">
        <f t="shared" si="0"/>
        <v>15.283000000000001</v>
      </c>
      <c r="L27" s="152">
        <f t="shared" si="1"/>
        <v>36.823</v>
      </c>
    </row>
    <row r="28" spans="1:12" ht="21.6" customHeight="1">
      <c r="A28" s="150">
        <v>26</v>
      </c>
      <c r="B28" s="96" t="s">
        <v>117</v>
      </c>
      <c r="C28" s="148"/>
      <c r="D28" s="148"/>
      <c r="E28" s="148"/>
      <c r="F28" s="148"/>
      <c r="G28" s="148"/>
      <c r="H28" s="148"/>
      <c r="I28" s="148"/>
      <c r="J28" s="148"/>
      <c r="K28" s="152">
        <f t="shared" si="0"/>
        <v>0</v>
      </c>
      <c r="L28" s="152">
        <f t="shared" si="1"/>
        <v>0</v>
      </c>
    </row>
    <row r="29" spans="1:12" ht="21.6" customHeight="1">
      <c r="A29" s="150">
        <v>27</v>
      </c>
      <c r="B29" s="96" t="s">
        <v>118</v>
      </c>
      <c r="C29" s="148"/>
      <c r="D29" s="148"/>
      <c r="E29" s="148"/>
      <c r="F29" s="148"/>
      <c r="G29" s="148"/>
      <c r="H29" s="148"/>
      <c r="I29" s="148"/>
      <c r="J29" s="148"/>
      <c r="K29" s="152">
        <f t="shared" si="0"/>
        <v>0</v>
      </c>
      <c r="L29" s="152">
        <f t="shared" si="1"/>
        <v>0</v>
      </c>
    </row>
    <row r="30" spans="1:12" ht="21.6" customHeight="1">
      <c r="A30" s="150">
        <v>28</v>
      </c>
      <c r="B30" s="96" t="s">
        <v>119</v>
      </c>
      <c r="C30" s="151">
        <v>12.074999999999999</v>
      </c>
      <c r="D30" s="151">
        <v>24.841999999999999</v>
      </c>
      <c r="E30" s="148">
        <v>11.36</v>
      </c>
      <c r="F30" s="148">
        <v>9.2096</v>
      </c>
      <c r="G30" s="148"/>
      <c r="H30" s="148"/>
      <c r="I30" s="148">
        <v>32.637</v>
      </c>
      <c r="J30" s="148">
        <f>4071.488/1453.24*100</f>
        <v>280.16624920866479</v>
      </c>
      <c r="K30" s="152">
        <f t="shared" si="0"/>
        <v>56.072000000000003</v>
      </c>
      <c r="L30" s="152">
        <f t="shared" si="1"/>
        <v>314.2178492086648</v>
      </c>
    </row>
    <row r="31" spans="1:12" ht="21.6" customHeight="1">
      <c r="A31" s="150">
        <v>29</v>
      </c>
      <c r="B31" s="96" t="s">
        <v>185</v>
      </c>
      <c r="C31" s="148">
        <f>'Plantation (UT''s)'!C10</f>
        <v>6.4029999999999996</v>
      </c>
      <c r="D31" s="148">
        <f>'Plantation (UT''s)'!D10</f>
        <v>15.646000000000001</v>
      </c>
      <c r="E31" s="148">
        <f>'Plantation (UT''s)'!E10</f>
        <v>64.015999999999991</v>
      </c>
      <c r="F31" s="148">
        <f>'Plantation (UT''s)'!F10</f>
        <v>20.131</v>
      </c>
      <c r="G31" s="148">
        <f>'Plantation (UT''s)'!G10</f>
        <v>0</v>
      </c>
      <c r="H31" s="148">
        <f>'Plantation (UT''s)'!H10</f>
        <v>0</v>
      </c>
      <c r="I31" s="148">
        <f>'Plantation (UT''s)'!I10</f>
        <v>49.311</v>
      </c>
      <c r="J31" s="148">
        <f>'Plantation (UT''s)'!J10</f>
        <v>210.8453056618315</v>
      </c>
      <c r="K31" s="152">
        <f t="shared" si="0"/>
        <v>119.72999999999999</v>
      </c>
      <c r="L31" s="152">
        <f t="shared" si="1"/>
        <v>246.62230566183149</v>
      </c>
    </row>
    <row r="32" spans="1:12" ht="21.6" customHeight="1">
      <c r="A32" s="148"/>
      <c r="B32" s="96" t="s">
        <v>89</v>
      </c>
      <c r="C32" s="155">
        <f>C3+C4+C5+C6+C7+C8+C9+C10+C11+C12+C13+C14+C15+C16+C17+C18+C19+C20+C21+C22+C23+C24+C25+C26+C27+C28+C29+C30+C31</f>
        <v>777.09100000000001</v>
      </c>
      <c r="D32" s="155">
        <f t="shared" ref="D32:L32" si="2">D3+D4+D5+D6+D7+D8+D9+D10+D11+D12+D13+D14+D15+D16+D17+D18+D19+D20+D21+D22+D23+D24+D25+D26+D27+D28+D29+D30+D31</f>
        <v>1399.318</v>
      </c>
      <c r="E32" s="155">
        <f t="shared" si="2"/>
        <v>1174.4199999999998</v>
      </c>
      <c r="F32" s="155">
        <f t="shared" si="2"/>
        <v>674.97820000000002</v>
      </c>
      <c r="G32" s="155">
        <f t="shared" si="2"/>
        <v>106.09</v>
      </c>
      <c r="H32" s="155">
        <f t="shared" si="2"/>
        <v>28.426000000000002</v>
      </c>
      <c r="I32" s="155">
        <f t="shared" si="2"/>
        <v>2109.7128800000005</v>
      </c>
      <c r="J32" s="155">
        <f t="shared" si="2"/>
        <v>13273.94647048526</v>
      </c>
      <c r="K32" s="155">
        <f t="shared" si="2"/>
        <v>4167.3138800000006</v>
      </c>
      <c r="L32" s="155">
        <f t="shared" si="2"/>
        <v>15376.66867048526</v>
      </c>
    </row>
    <row r="33" spans="1:12" ht="15" customHeight="1">
      <c r="A33" s="156" t="s">
        <v>203</v>
      </c>
      <c r="B33" s="156"/>
      <c r="C33" s="154"/>
      <c r="D33" s="154"/>
      <c r="E33" s="154"/>
      <c r="F33" s="154"/>
      <c r="G33" s="154"/>
      <c r="H33" s="154"/>
      <c r="I33" s="154"/>
    </row>
    <row r="34" spans="1:12" ht="15" customHeight="1">
      <c r="A34" s="157" t="s">
        <v>120</v>
      </c>
      <c r="B34" s="157"/>
      <c r="C34" s="157"/>
      <c r="D34" s="157"/>
      <c r="E34" s="157"/>
      <c r="F34" s="157"/>
      <c r="G34" s="158"/>
      <c r="H34" s="158"/>
      <c r="I34" s="158"/>
      <c r="J34" s="158"/>
    </row>
    <row r="35" spans="1:12" ht="15" customHeight="1">
      <c r="A35" s="157" t="s">
        <v>121</v>
      </c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2" ht="15" customHeight="1">
      <c r="A36" s="157" t="s">
        <v>122</v>
      </c>
      <c r="B36" s="157"/>
      <c r="C36" s="157"/>
      <c r="D36" s="157"/>
      <c r="E36" s="157"/>
      <c r="F36" s="157"/>
      <c r="G36" s="157"/>
      <c r="H36" s="158"/>
      <c r="I36" s="158"/>
      <c r="J36" s="158"/>
    </row>
    <row r="37" spans="1:12" ht="15" customHeight="1">
      <c r="A37" s="157" t="s">
        <v>123</v>
      </c>
      <c r="B37" s="157"/>
      <c r="C37" s="157"/>
      <c r="D37" s="157"/>
      <c r="E37" s="158"/>
      <c r="F37" s="157"/>
      <c r="G37" s="157"/>
      <c r="H37" s="158"/>
      <c r="I37" s="158"/>
      <c r="J37" s="158"/>
    </row>
    <row r="38" spans="1:12" ht="36" customHeight="1">
      <c r="B38" s="158"/>
      <c r="C38" s="159"/>
      <c r="D38" s="159"/>
      <c r="E38" s="159"/>
      <c r="F38" s="159"/>
      <c r="G38" s="159"/>
      <c r="H38" s="160"/>
      <c r="I38" s="160"/>
      <c r="J38" s="160"/>
      <c r="K38" s="160"/>
      <c r="L38" s="160"/>
    </row>
    <row r="39" spans="1:12" ht="36" customHeight="1">
      <c r="B39" s="158"/>
      <c r="C39" s="158"/>
      <c r="D39" s="158"/>
      <c r="E39" s="158"/>
      <c r="F39" s="158"/>
      <c r="G39" s="158"/>
      <c r="J39" s="161"/>
    </row>
    <row r="40" spans="1:12" ht="36" customHeight="1">
      <c r="B40" s="162"/>
      <c r="C40" s="162"/>
      <c r="D40" s="162"/>
      <c r="E40" s="162"/>
      <c r="F40" s="162"/>
      <c r="G40" s="162"/>
    </row>
  </sheetData>
  <mergeCells count="5">
    <mergeCell ref="K1:L1"/>
    <mergeCell ref="C1:D1"/>
    <mergeCell ref="E1:F1"/>
    <mergeCell ref="G1:H1"/>
    <mergeCell ref="I1:J1"/>
  </mergeCells>
  <pageMargins left="0.59" right="0.63" top="1.33" bottom="0.23" header="0.87" footer="0.2"/>
  <pageSetup paperSize="9" scale="60" orientation="landscape" r:id="rId1"/>
  <headerFooter>
    <oddHeader>&amp;C&amp;"-,Bold"&amp;22Second Advance Estimates of 2021-22
Area and Production of Plantation Crops &amp;R&amp;"-,Bold"&amp;12Area in '000 Ha
Production in '000 MT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R43"/>
  <sheetViews>
    <sheetView topLeftCell="B1" zoomScaleNormal="100" workbookViewId="0">
      <selection activeCell="B4" sqref="A4:XFD4"/>
    </sheetView>
  </sheetViews>
  <sheetFormatPr defaultColWidth="9" defaultRowHeight="30.75" customHeight="1"/>
  <cols>
    <col min="1" max="1" width="0" style="161" hidden="1" customWidth="1"/>
    <col min="2" max="2" width="9" style="161"/>
    <col min="3" max="3" width="34.25" style="213" customWidth="1"/>
    <col min="4" max="4" width="10.875" style="161" customWidth="1"/>
    <col min="5" max="5" width="12.125" style="161" customWidth="1"/>
    <col min="6" max="6" width="10.875" style="161" customWidth="1"/>
    <col min="7" max="7" width="10.75" style="161" customWidth="1"/>
    <col min="8" max="8" width="11.375" style="161" customWidth="1"/>
    <col min="9" max="9" width="9.875" style="161" customWidth="1"/>
    <col min="10" max="10" width="11.5" style="161" customWidth="1"/>
    <col min="11" max="12" width="10.875" style="161" customWidth="1"/>
    <col min="13" max="13" width="9.625" style="161" customWidth="1"/>
    <col min="14" max="14" width="11.75" style="161" customWidth="1"/>
    <col min="15" max="15" width="11.875" style="161" customWidth="1"/>
    <col min="16" max="17" width="8.875" style="161" customWidth="1"/>
    <col min="18" max="18" width="11" style="161" customWidth="1"/>
    <col min="19" max="21" width="8.875" style="161" customWidth="1"/>
    <col min="22" max="22" width="9.875" style="161" customWidth="1"/>
    <col min="23" max="29" width="8.875" style="161" customWidth="1"/>
    <col min="30" max="30" width="10.875" style="161" customWidth="1"/>
    <col min="31" max="32" width="8.875" style="161" customWidth="1"/>
    <col min="33" max="33" width="9.5" style="161" customWidth="1"/>
    <col min="34" max="36" width="8.875" style="161" customWidth="1"/>
    <col min="37" max="37" width="12.125" style="161" customWidth="1"/>
    <col min="38" max="38" width="10.625" style="161" customWidth="1"/>
    <col min="39" max="40" width="12.625" style="161" customWidth="1"/>
    <col min="41" max="41" width="12.375" style="161" customWidth="1"/>
    <col min="42" max="42" width="12.875" style="161" customWidth="1"/>
    <col min="43" max="16384" width="9" style="161"/>
  </cols>
  <sheetData>
    <row r="1" spans="1:44" ht="22.15" customHeight="1">
      <c r="A1" s="376" t="s">
        <v>219</v>
      </c>
      <c r="B1" s="116" t="s">
        <v>219</v>
      </c>
      <c r="C1" s="163" t="s">
        <v>124</v>
      </c>
      <c r="D1" s="375" t="s">
        <v>204</v>
      </c>
      <c r="E1" s="375"/>
      <c r="F1" s="375"/>
      <c r="G1" s="375" t="s">
        <v>205</v>
      </c>
      <c r="H1" s="375"/>
      <c r="I1" s="375"/>
      <c r="J1" s="375" t="s">
        <v>206</v>
      </c>
      <c r="K1" s="375"/>
      <c r="L1" s="375"/>
      <c r="M1" s="375" t="s">
        <v>207</v>
      </c>
      <c r="N1" s="375"/>
      <c r="O1" s="375"/>
      <c r="P1" s="375" t="s">
        <v>208</v>
      </c>
      <c r="Q1" s="375"/>
      <c r="R1" s="375"/>
      <c r="S1" s="375" t="s">
        <v>209</v>
      </c>
      <c r="T1" s="375"/>
      <c r="U1" s="375"/>
      <c r="V1" s="375" t="s">
        <v>210</v>
      </c>
      <c r="W1" s="375"/>
      <c r="X1" s="375"/>
      <c r="Y1" s="375" t="s">
        <v>211</v>
      </c>
      <c r="Z1" s="375"/>
      <c r="AA1" s="375"/>
      <c r="AB1" s="375" t="s">
        <v>212</v>
      </c>
      <c r="AC1" s="375"/>
      <c r="AD1" s="375"/>
      <c r="AE1" s="375" t="s">
        <v>213</v>
      </c>
      <c r="AF1" s="375"/>
      <c r="AG1" s="375"/>
      <c r="AH1" s="375" t="s">
        <v>214</v>
      </c>
      <c r="AI1" s="375"/>
      <c r="AJ1" s="375"/>
      <c r="AK1" s="375" t="s">
        <v>215</v>
      </c>
      <c r="AL1" s="375"/>
      <c r="AM1" s="375"/>
      <c r="AN1" s="375" t="s">
        <v>89</v>
      </c>
      <c r="AO1" s="375"/>
      <c r="AP1" s="375"/>
    </row>
    <row r="2" spans="1:44" ht="22.15" customHeight="1">
      <c r="A2" s="377"/>
      <c r="B2" s="164"/>
      <c r="C2" s="165"/>
      <c r="D2" s="163" t="s">
        <v>90</v>
      </c>
      <c r="E2" s="375" t="s">
        <v>91</v>
      </c>
      <c r="F2" s="375"/>
      <c r="G2" s="163" t="s">
        <v>90</v>
      </c>
      <c r="H2" s="375" t="s">
        <v>91</v>
      </c>
      <c r="I2" s="375"/>
      <c r="J2" s="163" t="s">
        <v>90</v>
      </c>
      <c r="K2" s="375" t="s">
        <v>91</v>
      </c>
      <c r="L2" s="375"/>
      <c r="M2" s="163" t="s">
        <v>90</v>
      </c>
      <c r="N2" s="375" t="s">
        <v>91</v>
      </c>
      <c r="O2" s="375"/>
      <c r="P2" s="163" t="s">
        <v>90</v>
      </c>
      <c r="Q2" s="375" t="s">
        <v>91</v>
      </c>
      <c r="R2" s="375"/>
      <c r="S2" s="163" t="s">
        <v>90</v>
      </c>
      <c r="T2" s="375" t="s">
        <v>91</v>
      </c>
      <c r="U2" s="375"/>
      <c r="V2" s="163" t="s">
        <v>90</v>
      </c>
      <c r="W2" s="375" t="s">
        <v>91</v>
      </c>
      <c r="X2" s="375"/>
      <c r="Y2" s="163" t="s">
        <v>90</v>
      </c>
      <c r="Z2" s="375" t="s">
        <v>91</v>
      </c>
      <c r="AA2" s="375"/>
      <c r="AB2" s="163" t="s">
        <v>90</v>
      </c>
      <c r="AC2" s="375" t="s">
        <v>91</v>
      </c>
      <c r="AD2" s="375"/>
      <c r="AE2" s="163" t="s">
        <v>90</v>
      </c>
      <c r="AF2" s="375" t="s">
        <v>91</v>
      </c>
      <c r="AG2" s="375"/>
      <c r="AH2" s="163" t="s">
        <v>90</v>
      </c>
      <c r="AI2" s="375" t="s">
        <v>91</v>
      </c>
      <c r="AJ2" s="375"/>
      <c r="AK2" s="163" t="s">
        <v>90</v>
      </c>
      <c r="AL2" s="375" t="s">
        <v>91</v>
      </c>
      <c r="AM2" s="375"/>
      <c r="AN2" s="163" t="s">
        <v>90</v>
      </c>
      <c r="AO2" s="375" t="s">
        <v>91</v>
      </c>
      <c r="AP2" s="375"/>
    </row>
    <row r="3" spans="1:44" ht="22.15" customHeight="1">
      <c r="A3" s="378"/>
      <c r="B3" s="164"/>
      <c r="C3" s="165"/>
      <c r="D3" s="163"/>
      <c r="E3" s="163" t="s">
        <v>125</v>
      </c>
      <c r="F3" s="163" t="s">
        <v>126</v>
      </c>
      <c r="G3" s="163"/>
      <c r="H3" s="163" t="s">
        <v>125</v>
      </c>
      <c r="I3" s="163" t="s">
        <v>126</v>
      </c>
      <c r="J3" s="163"/>
      <c r="K3" s="163" t="s">
        <v>125</v>
      </c>
      <c r="L3" s="163" t="s">
        <v>126</v>
      </c>
      <c r="M3" s="163"/>
      <c r="N3" s="163" t="s">
        <v>125</v>
      </c>
      <c r="O3" s="163" t="s">
        <v>126</v>
      </c>
      <c r="P3" s="163"/>
      <c r="Q3" s="163" t="s">
        <v>125</v>
      </c>
      <c r="R3" s="163" t="s">
        <v>126</v>
      </c>
      <c r="S3" s="163"/>
      <c r="T3" s="163" t="s">
        <v>125</v>
      </c>
      <c r="U3" s="163" t="s">
        <v>126</v>
      </c>
      <c r="V3" s="163"/>
      <c r="W3" s="163" t="s">
        <v>125</v>
      </c>
      <c r="X3" s="163" t="s">
        <v>126</v>
      </c>
      <c r="Y3" s="163"/>
      <c r="Z3" s="163" t="s">
        <v>125</v>
      </c>
      <c r="AA3" s="163" t="s">
        <v>126</v>
      </c>
      <c r="AB3" s="163"/>
      <c r="AC3" s="163" t="s">
        <v>125</v>
      </c>
      <c r="AD3" s="163" t="s">
        <v>126</v>
      </c>
      <c r="AE3" s="163"/>
      <c r="AF3" s="163" t="s">
        <v>125</v>
      </c>
      <c r="AG3" s="163" t="s">
        <v>126</v>
      </c>
      <c r="AH3" s="163"/>
      <c r="AI3" s="163" t="s">
        <v>125</v>
      </c>
      <c r="AJ3" s="163" t="s">
        <v>126</v>
      </c>
      <c r="AK3" s="163"/>
      <c r="AL3" s="163" t="s">
        <v>125</v>
      </c>
      <c r="AM3" s="163" t="s">
        <v>126</v>
      </c>
      <c r="AN3" s="163"/>
      <c r="AO3" s="163" t="s">
        <v>125</v>
      </c>
      <c r="AP3" s="163" t="s">
        <v>126</v>
      </c>
    </row>
    <row r="4" spans="1:44" s="147" customFormat="1" ht="22.15" customHeight="1">
      <c r="A4" s="150">
        <v>1</v>
      </c>
      <c r="B4" s="150">
        <v>1</v>
      </c>
      <c r="C4" s="96" t="s">
        <v>92</v>
      </c>
      <c r="D4" s="166"/>
      <c r="E4" s="166"/>
      <c r="F4" s="166"/>
      <c r="G4" s="166"/>
      <c r="H4" s="166"/>
      <c r="I4" s="166"/>
      <c r="J4" s="167">
        <v>3.016</v>
      </c>
      <c r="K4" s="167">
        <v>154.46199999999999</v>
      </c>
      <c r="L4" s="166"/>
      <c r="M4" s="166"/>
      <c r="N4" s="166"/>
      <c r="O4" s="168"/>
      <c r="P4" s="166"/>
      <c r="Q4" s="168"/>
      <c r="R4" s="166"/>
      <c r="S4" s="166">
        <v>2.794</v>
      </c>
      <c r="T4" s="166">
        <v>23.47</v>
      </c>
      <c r="U4" s="166"/>
      <c r="V4" s="166">
        <v>6.5359999999999996</v>
      </c>
      <c r="W4" s="166">
        <v>78.433000000000007</v>
      </c>
      <c r="X4" s="166"/>
      <c r="Y4" s="166"/>
      <c r="Z4" s="166"/>
      <c r="AA4" s="166"/>
      <c r="AB4" s="166">
        <v>0.38800000000000001</v>
      </c>
      <c r="AC4" s="166"/>
      <c r="AD4" s="166">
        <f>1941/130</f>
        <v>14.930769230769231</v>
      </c>
      <c r="AE4" s="166">
        <v>1.583</v>
      </c>
      <c r="AF4" s="166">
        <v>14.484</v>
      </c>
      <c r="AG4" s="166"/>
      <c r="AH4" s="166"/>
      <c r="AI4" s="166"/>
      <c r="AJ4" s="166"/>
      <c r="AK4" s="166">
        <f>1.422+0.725</f>
        <v>2.1469999999999998</v>
      </c>
      <c r="AL4" s="166">
        <f>5.689+19.581</f>
        <v>25.27</v>
      </c>
      <c r="AM4" s="166"/>
      <c r="AN4" s="169">
        <f>D4+G4+J4+M4+P4+S4+V4+Y4+AB4+AE4+AH4+AK4</f>
        <v>16.463999999999999</v>
      </c>
      <c r="AO4" s="169">
        <f t="shared" ref="AO4:AP4" si="0">E4+H4+K4+N4+Q4+T4+W4+Z4+AC4+AF4+AI4+AL4</f>
        <v>296.11899999999997</v>
      </c>
      <c r="AP4" s="169">
        <f t="shared" si="0"/>
        <v>14.930769230769231</v>
      </c>
    </row>
    <row r="5" spans="1:44" ht="22.15" customHeight="1">
      <c r="A5" s="150">
        <v>2</v>
      </c>
      <c r="B5" s="170">
        <v>2</v>
      </c>
      <c r="C5" s="171" t="s">
        <v>127</v>
      </c>
      <c r="D5" s="172"/>
      <c r="E5" s="173"/>
      <c r="F5" s="173"/>
      <c r="G5" s="173"/>
      <c r="H5" s="173"/>
      <c r="I5" s="173"/>
      <c r="J5" s="173"/>
      <c r="K5" s="173"/>
      <c r="L5" s="173"/>
      <c r="M5" s="173">
        <v>1E-3</v>
      </c>
      <c r="N5" s="173">
        <v>1E-3</v>
      </c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>
        <v>1E-3</v>
      </c>
      <c r="AC5" s="173">
        <v>2E-3</v>
      </c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69">
        <f t="shared" ref="AN5:AN32" si="1">D5+G5+J5+M5+P5+S5+V5+Y5+AB5+AE5+AH5+AK5</f>
        <v>2E-3</v>
      </c>
      <c r="AO5" s="169">
        <f t="shared" ref="AO5:AO32" si="2">E5+H5+K5+N5+Q5+T5+W5+Z5+AC5+AF5+AI5+AL5</f>
        <v>3.0000000000000001E-3</v>
      </c>
      <c r="AP5" s="169">
        <f t="shared" ref="AP5:AP32" si="3">F5+I5+L5+O5+R5+U5+X5+AA5+AD5+AG5+AJ5+AM5</f>
        <v>0</v>
      </c>
    </row>
    <row r="6" spans="1:44" ht="22.15" customHeight="1">
      <c r="A6" s="150">
        <v>3</v>
      </c>
      <c r="B6" s="150">
        <v>3</v>
      </c>
      <c r="C6" s="174" t="s">
        <v>94</v>
      </c>
      <c r="D6" s="175">
        <v>0.14399999999999999</v>
      </c>
      <c r="E6" s="176">
        <v>0.95399999999999996</v>
      </c>
      <c r="F6" s="176">
        <f>215/180</f>
        <v>1.1944444444444444</v>
      </c>
      <c r="G6" s="176">
        <v>0.20399999999999999</v>
      </c>
      <c r="H6" s="176">
        <v>1.337</v>
      </c>
      <c r="I6" s="176">
        <f>324/210</f>
        <v>1.5428571428571429</v>
      </c>
      <c r="J6" s="176">
        <v>0.26700000000000002</v>
      </c>
      <c r="K6" s="176">
        <v>1.831</v>
      </c>
      <c r="L6" s="176">
        <f>428/180</f>
        <v>2.3777777777777778</v>
      </c>
      <c r="M6" s="176">
        <v>0.79300000000000004</v>
      </c>
      <c r="N6" s="177">
        <v>5.492</v>
      </c>
      <c r="O6" s="168">
        <f>1248/175</f>
        <v>7.1314285714285717</v>
      </c>
      <c r="P6" s="175">
        <v>0.44</v>
      </c>
      <c r="Q6" s="178">
        <v>2.9870000000000001</v>
      </c>
      <c r="R6" s="176">
        <f>732/80</f>
        <v>9.15</v>
      </c>
      <c r="S6" s="176">
        <v>0.28199999999999997</v>
      </c>
      <c r="T6" s="176">
        <v>1.865</v>
      </c>
      <c r="U6" s="176">
        <f>485/180</f>
        <v>2.6944444444444446</v>
      </c>
      <c r="V6" s="176">
        <v>0.63500000000000001</v>
      </c>
      <c r="W6" s="176">
        <v>4.157</v>
      </c>
      <c r="X6" s="176">
        <f>1076/180</f>
        <v>5.9777777777777779</v>
      </c>
      <c r="Y6" s="176">
        <v>0.75</v>
      </c>
      <c r="Z6" s="176">
        <v>4.9530000000000003</v>
      </c>
      <c r="AA6" s="176">
        <f>1298/130</f>
        <v>9.9846153846153847</v>
      </c>
      <c r="AB6" s="176">
        <v>0.44</v>
      </c>
      <c r="AC6" s="176">
        <v>2.82</v>
      </c>
      <c r="AD6" s="176">
        <f>718/130</f>
        <v>5.523076923076923</v>
      </c>
      <c r="AE6" s="176">
        <v>0.36</v>
      </c>
      <c r="AF6" s="176">
        <v>2.3889999999999998</v>
      </c>
      <c r="AG6" s="176">
        <f>620/180</f>
        <v>3.4444444444444446</v>
      </c>
      <c r="AH6" s="176"/>
      <c r="AI6" s="176"/>
      <c r="AJ6" s="176"/>
      <c r="AK6" s="176">
        <v>0.99199999999999999</v>
      </c>
      <c r="AL6" s="176">
        <v>6.798</v>
      </c>
      <c r="AM6" s="166">
        <f>1580/180</f>
        <v>8.7777777777777786</v>
      </c>
      <c r="AN6" s="169">
        <f t="shared" si="1"/>
        <v>5.3069999999999995</v>
      </c>
      <c r="AO6" s="169">
        <f t="shared" si="2"/>
        <v>35.582999999999998</v>
      </c>
      <c r="AP6" s="169">
        <f t="shared" si="3"/>
        <v>57.798644688644686</v>
      </c>
    </row>
    <row r="7" spans="1:44" ht="22.15" customHeight="1">
      <c r="A7" s="150">
        <v>4</v>
      </c>
      <c r="B7" s="150">
        <v>4</v>
      </c>
      <c r="C7" s="174" t="s">
        <v>95</v>
      </c>
      <c r="D7" s="179"/>
      <c r="E7" s="179"/>
      <c r="F7" s="179"/>
      <c r="G7" s="179"/>
      <c r="H7" s="179"/>
      <c r="I7" s="179"/>
      <c r="J7" s="179"/>
      <c r="K7" s="179"/>
      <c r="L7" s="179"/>
      <c r="M7" s="179">
        <v>0</v>
      </c>
      <c r="N7" s="179">
        <v>2E-3</v>
      </c>
      <c r="O7" s="179"/>
      <c r="P7" s="179">
        <v>2E-3</v>
      </c>
      <c r="Q7" s="179"/>
      <c r="R7" s="179">
        <f>2/80</f>
        <v>2.5000000000000001E-2</v>
      </c>
      <c r="S7" s="179">
        <v>4.0000000000000001E-3</v>
      </c>
      <c r="T7" s="179">
        <v>1.2999999999999999E-2</v>
      </c>
      <c r="U7" s="179"/>
      <c r="V7" s="179">
        <v>1.159</v>
      </c>
      <c r="W7" s="179">
        <v>10.601000000000001</v>
      </c>
      <c r="X7" s="179"/>
      <c r="Y7" s="179"/>
      <c r="Z7" s="179"/>
      <c r="AA7" s="179"/>
      <c r="AB7" s="179">
        <v>1.7999999999999999E-2</v>
      </c>
      <c r="AC7" s="179"/>
      <c r="AD7" s="179">
        <f>18/130</f>
        <v>0.13846153846153847</v>
      </c>
      <c r="AE7" s="179">
        <v>1E-3</v>
      </c>
      <c r="AF7" s="179"/>
      <c r="AG7" s="179">
        <f>5/180</f>
        <v>2.7777777777777776E-2</v>
      </c>
      <c r="AH7" s="179">
        <v>2E-3</v>
      </c>
      <c r="AI7" s="179">
        <v>1E-3</v>
      </c>
      <c r="AJ7" s="179"/>
      <c r="AK7" s="179">
        <v>2.3E-2</v>
      </c>
      <c r="AL7" s="179">
        <v>0.33600000000000002</v>
      </c>
      <c r="AM7" s="179"/>
      <c r="AN7" s="169">
        <f t="shared" si="1"/>
        <v>1.2089999999999999</v>
      </c>
      <c r="AO7" s="169">
        <f t="shared" si="2"/>
        <v>10.953000000000001</v>
      </c>
      <c r="AP7" s="169">
        <f t="shared" si="3"/>
        <v>0.19123931623931623</v>
      </c>
    </row>
    <row r="8" spans="1:44" ht="22.15" customHeight="1">
      <c r="A8" s="150">
        <v>5</v>
      </c>
      <c r="B8" s="150">
        <v>5</v>
      </c>
      <c r="C8" s="174" t="s">
        <v>128</v>
      </c>
      <c r="D8" s="166"/>
      <c r="E8" s="166"/>
      <c r="F8" s="166"/>
      <c r="G8" s="166"/>
      <c r="H8" s="166"/>
      <c r="I8" s="166"/>
      <c r="J8" s="166">
        <v>0.22600000000000001</v>
      </c>
      <c r="K8" s="166">
        <v>0.95799999999999996</v>
      </c>
      <c r="L8" s="166"/>
      <c r="M8" s="166"/>
      <c r="N8" s="166"/>
      <c r="O8" s="168"/>
      <c r="P8" s="166">
        <v>2.0880000000000001</v>
      </c>
      <c r="Q8" s="179">
        <v>2.9780000000000002</v>
      </c>
      <c r="R8" s="168">
        <f>8990/80</f>
        <v>112.375</v>
      </c>
      <c r="S8" s="166">
        <v>1.4999999999999999E-2</v>
      </c>
      <c r="T8" s="166">
        <v>3.2000000000000001E-2</v>
      </c>
      <c r="U8" s="166"/>
      <c r="V8" s="166">
        <v>4.6340000000000003</v>
      </c>
      <c r="W8" s="166">
        <v>36.841000000000001</v>
      </c>
      <c r="X8" s="166">
        <f>3658/180</f>
        <v>20.322222222222223</v>
      </c>
      <c r="Y8" s="166"/>
      <c r="Z8" s="166"/>
      <c r="AA8" s="166"/>
      <c r="AB8" s="166">
        <v>0.92700000000000005</v>
      </c>
      <c r="AC8" s="166">
        <v>0.82099999999999995</v>
      </c>
      <c r="AD8" s="166">
        <f>3368/130</f>
        <v>25.907692307692308</v>
      </c>
      <c r="AE8" s="166">
        <v>1.325</v>
      </c>
      <c r="AF8" s="166">
        <v>5.2380000000000004</v>
      </c>
      <c r="AG8" s="166">
        <f>1005/180</f>
        <v>5.583333333333333</v>
      </c>
      <c r="AH8" s="166"/>
      <c r="AI8" s="166"/>
      <c r="AJ8" s="166"/>
      <c r="AK8" s="166">
        <v>1.9770000000000001</v>
      </c>
      <c r="AL8" s="166">
        <v>5.8159999999999998</v>
      </c>
      <c r="AM8" s="166">
        <f>2496/180</f>
        <v>13.866666666666667</v>
      </c>
      <c r="AN8" s="169">
        <f t="shared" si="1"/>
        <v>11.192</v>
      </c>
      <c r="AO8" s="169">
        <f t="shared" si="2"/>
        <v>52.683999999999997</v>
      </c>
      <c r="AP8" s="169">
        <f t="shared" si="3"/>
        <v>178.05491452991456</v>
      </c>
    </row>
    <row r="9" spans="1:44" ht="22.15" customHeight="1">
      <c r="A9" s="150">
        <v>6</v>
      </c>
      <c r="B9" s="170">
        <v>6</v>
      </c>
      <c r="C9" s="180" t="s">
        <v>97</v>
      </c>
      <c r="D9" s="181"/>
      <c r="E9" s="182"/>
      <c r="F9" s="182"/>
      <c r="G9" s="182"/>
      <c r="H9" s="182"/>
      <c r="I9" s="182"/>
      <c r="J9" s="182"/>
      <c r="K9" s="182"/>
      <c r="L9" s="182"/>
      <c r="M9" s="182"/>
      <c r="N9" s="183"/>
      <c r="O9" s="184"/>
      <c r="P9" s="181"/>
      <c r="Q9" s="185"/>
      <c r="R9" s="182"/>
      <c r="S9" s="182">
        <v>0.89500000000000002</v>
      </c>
      <c r="T9" s="182">
        <v>7.9710000000000001</v>
      </c>
      <c r="U9" s="182"/>
      <c r="V9" s="182">
        <v>8.7360000000000007</v>
      </c>
      <c r="W9" s="182">
        <v>83.277000000000001</v>
      </c>
      <c r="X9" s="182"/>
      <c r="Y9" s="182"/>
      <c r="Z9" s="182"/>
      <c r="AA9" s="182"/>
      <c r="AB9" s="182">
        <v>4.12</v>
      </c>
      <c r="AC9" s="182">
        <v>38.761000000000003</v>
      </c>
      <c r="AD9" s="182"/>
      <c r="AE9" s="182"/>
      <c r="AF9" s="182"/>
      <c r="AG9" s="182"/>
      <c r="AH9" s="182"/>
      <c r="AI9" s="182"/>
      <c r="AJ9" s="182"/>
      <c r="AK9" s="182">
        <f>2.543+3.691</f>
        <v>6.234</v>
      </c>
      <c r="AL9" s="182">
        <f>21.709+37.619</f>
        <v>59.328000000000003</v>
      </c>
      <c r="AM9" s="186"/>
      <c r="AN9" s="169">
        <f t="shared" si="1"/>
        <v>19.984999999999999</v>
      </c>
      <c r="AO9" s="169">
        <f t="shared" si="2"/>
        <v>189.33700000000002</v>
      </c>
      <c r="AP9" s="169">
        <f t="shared" si="3"/>
        <v>0</v>
      </c>
    </row>
    <row r="10" spans="1:44" ht="22.15" customHeight="1">
      <c r="A10" s="150">
        <v>7</v>
      </c>
      <c r="B10" s="150">
        <v>7</v>
      </c>
      <c r="C10" s="174" t="s">
        <v>98</v>
      </c>
      <c r="D10" s="166"/>
      <c r="E10" s="166"/>
      <c r="F10" s="166"/>
      <c r="G10" s="166"/>
      <c r="H10" s="166"/>
      <c r="I10" s="166"/>
      <c r="J10" s="166">
        <v>9.5000000000000001E-2</v>
      </c>
      <c r="K10" s="166">
        <v>6.0999999999999999E-2</v>
      </c>
      <c r="L10" s="166">
        <f>0.6/180</f>
        <v>3.3333333333333331E-3</v>
      </c>
      <c r="M10" s="166">
        <v>1E-3</v>
      </c>
      <c r="N10" s="166"/>
      <c r="O10" s="168">
        <f>0.17/175</f>
        <v>9.7142857142857154E-4</v>
      </c>
      <c r="P10" s="166">
        <v>2.5000000000000001E-2</v>
      </c>
      <c r="Q10" s="168"/>
      <c r="R10" s="166">
        <f>6.5/80</f>
        <v>8.1250000000000003E-2</v>
      </c>
      <c r="S10" s="166"/>
      <c r="T10" s="166"/>
      <c r="U10" s="166"/>
      <c r="V10" s="166">
        <v>1.3009999999999999</v>
      </c>
      <c r="W10" s="166">
        <v>16.794</v>
      </c>
      <c r="X10" s="166"/>
      <c r="Y10" s="166"/>
      <c r="Z10" s="166"/>
      <c r="AA10" s="166"/>
      <c r="AB10" s="166">
        <f>0.054+0.002</f>
        <v>5.6000000000000001E-2</v>
      </c>
      <c r="AC10" s="166">
        <v>0.26600000000000001</v>
      </c>
      <c r="AD10" s="166">
        <f>(40.37+0.4)/130</f>
        <v>0.31361538461538457</v>
      </c>
      <c r="AE10" s="166">
        <v>0.13</v>
      </c>
      <c r="AF10" s="166"/>
      <c r="AG10" s="166">
        <f>68.45/180</f>
        <v>0.38027777777777777</v>
      </c>
      <c r="AH10" s="166"/>
      <c r="AI10" s="166"/>
      <c r="AJ10" s="166"/>
      <c r="AK10" s="166">
        <f>0.84+0.001</f>
        <v>0.84099999999999997</v>
      </c>
      <c r="AL10" s="166">
        <f>0.091</f>
        <v>9.0999999999999998E-2</v>
      </c>
      <c r="AM10" s="166">
        <f>(1.2+4.9)/180</f>
        <v>3.3888888888888892E-2</v>
      </c>
      <c r="AN10" s="169">
        <f t="shared" si="1"/>
        <v>2.4489999999999998</v>
      </c>
      <c r="AO10" s="169">
        <f t="shared" si="2"/>
        <v>17.212000000000003</v>
      </c>
      <c r="AP10" s="169">
        <f t="shared" si="3"/>
        <v>0.81333681318681306</v>
      </c>
    </row>
    <row r="11" spans="1:44" ht="22.15" customHeight="1">
      <c r="A11" s="150">
        <v>8</v>
      </c>
      <c r="B11" s="150">
        <v>8</v>
      </c>
      <c r="C11" s="174" t="s">
        <v>99</v>
      </c>
      <c r="D11" s="187"/>
      <c r="E11" s="187"/>
      <c r="F11" s="187"/>
      <c r="G11" s="187">
        <v>9.307E-2</v>
      </c>
      <c r="H11" s="187"/>
      <c r="I11" s="187">
        <f>902.779/210</f>
        <v>4.2989476190476195</v>
      </c>
      <c r="J11" s="187">
        <f>0.08783+0.02601</f>
        <v>0.11384</v>
      </c>
      <c r="K11" s="187">
        <v>0.5202</v>
      </c>
      <c r="L11" s="187">
        <f>702.64/180</f>
        <v>3.9035555555555557</v>
      </c>
      <c r="M11" s="187">
        <v>4.8300000000000001E-3</v>
      </c>
      <c r="N11" s="187"/>
      <c r="O11" s="168">
        <f>57.96/175</f>
        <v>0.33119999999999999</v>
      </c>
      <c r="P11" s="187">
        <v>2.3050000000000001E-2</v>
      </c>
      <c r="Q11" s="188"/>
      <c r="R11" s="187">
        <f>43.795/80</f>
        <v>0.54743750000000002</v>
      </c>
      <c r="S11" s="187"/>
      <c r="T11" s="187"/>
      <c r="U11" s="187"/>
      <c r="V11" s="187">
        <v>5.1909999999999998E-2</v>
      </c>
      <c r="W11" s="187">
        <v>0.77864999999999995</v>
      </c>
      <c r="X11" s="187"/>
      <c r="Y11" s="187"/>
      <c r="Z11" s="187"/>
      <c r="AA11" s="187"/>
      <c r="AB11" s="187">
        <v>2.3009999999999999E-2</v>
      </c>
      <c r="AC11" s="187"/>
      <c r="AD11" s="187">
        <f>171.425/130</f>
        <v>1.3186538461538462</v>
      </c>
      <c r="AE11" s="187"/>
      <c r="AF11" s="187"/>
      <c r="AG11" s="187"/>
      <c r="AH11" s="187"/>
      <c r="AI11" s="187"/>
      <c r="AJ11" s="187"/>
      <c r="AK11" s="187">
        <f>0.01+0.054</f>
        <v>6.4000000000000001E-2</v>
      </c>
      <c r="AL11" s="187"/>
      <c r="AM11" s="187">
        <f>0.017+0.027+0.009</f>
        <v>5.2999999999999999E-2</v>
      </c>
      <c r="AN11" s="169">
        <f t="shared" si="1"/>
        <v>0.37370999999999999</v>
      </c>
      <c r="AO11" s="169">
        <f t="shared" si="2"/>
        <v>1.2988499999999998</v>
      </c>
      <c r="AP11" s="169">
        <f t="shared" si="3"/>
        <v>10.452794520757024</v>
      </c>
    </row>
    <row r="12" spans="1:44" ht="22.15" customHeight="1">
      <c r="A12" s="150">
        <v>9</v>
      </c>
      <c r="B12" s="170">
        <v>9</v>
      </c>
      <c r="C12" s="180" t="s">
        <v>100</v>
      </c>
      <c r="D12" s="189">
        <f>0.03/1000</f>
        <v>2.9999999999999997E-5</v>
      </c>
      <c r="E12" s="190">
        <f>0.15/1000</f>
        <v>1.4999999999999999E-4</v>
      </c>
      <c r="F12" s="190"/>
      <c r="G12" s="190">
        <f>1.075/1000</f>
        <v>1.075E-3</v>
      </c>
      <c r="H12" s="190"/>
      <c r="I12" s="190">
        <f>13.195/210</f>
        <v>6.2833333333333338E-2</v>
      </c>
      <c r="J12" s="190">
        <f>1.307/1000</f>
        <v>1.307E-3</v>
      </c>
      <c r="K12" s="190">
        <f>1.055/1000</f>
        <v>1.0549999999999999E-3</v>
      </c>
      <c r="L12" s="190">
        <f>2.536/180</f>
        <v>1.4088888888888889E-2</v>
      </c>
      <c r="M12" s="190">
        <f>1.893/1000</f>
        <v>1.8929999999999999E-3</v>
      </c>
      <c r="N12" s="191">
        <f>0.01/1000</f>
        <v>1.0000000000000001E-5</v>
      </c>
      <c r="O12" s="184">
        <f>18.597/175</f>
        <v>0.10626857142857143</v>
      </c>
      <c r="P12" s="189">
        <f>2.832/1000</f>
        <v>2.8319999999999999E-3</v>
      </c>
      <c r="Q12" s="192"/>
      <c r="R12" s="190">
        <f>0.949/80</f>
        <v>1.18625E-2</v>
      </c>
      <c r="S12" s="190">
        <f>0.1/1000</f>
        <v>1E-4</v>
      </c>
      <c r="T12" s="190"/>
      <c r="U12" s="190">
        <f>0.1/180</f>
        <v>5.5555555555555556E-4</v>
      </c>
      <c r="V12" s="190">
        <f>7.634/1000</f>
        <v>7.6340000000000002E-3</v>
      </c>
      <c r="W12" s="190">
        <f>58.112/1000</f>
        <v>5.8112000000000004E-2</v>
      </c>
      <c r="X12" s="190"/>
      <c r="Y12" s="190"/>
      <c r="Z12" s="190"/>
      <c r="AA12" s="190"/>
      <c r="AB12" s="190">
        <f>11.463/1000</f>
        <v>1.1462999999999999E-2</v>
      </c>
      <c r="AC12" s="190">
        <f>15.397/1000</f>
        <v>1.5397000000000001E-2</v>
      </c>
      <c r="AD12" s="190">
        <f>84.562/130</f>
        <v>0.65047692307692306</v>
      </c>
      <c r="AE12" s="190">
        <f>0.015/1000</f>
        <v>1.4999999999999999E-5</v>
      </c>
      <c r="AF12" s="190"/>
      <c r="AG12" s="190">
        <f>0.06/180</f>
        <v>3.3333333333333332E-4</v>
      </c>
      <c r="AH12" s="190">
        <f>20.515/1000</f>
        <v>2.0515000000000002E-2</v>
      </c>
      <c r="AI12" s="190">
        <v>1.6000000000000001E-3</v>
      </c>
      <c r="AJ12" s="190">
        <f>13.63/180</f>
        <v>7.5722222222222232E-2</v>
      </c>
      <c r="AK12" s="190">
        <f>(0.993+0.13+2.264+0.757+0.198+1.855+49.52)/1000</f>
        <v>5.5716999999999996E-2</v>
      </c>
      <c r="AL12" s="190">
        <f>(0.11+15.805+0.022+15.05+103.27)/1000</f>
        <v>0.13425700000000002</v>
      </c>
      <c r="AM12" s="193">
        <f>(1.62+3.83+1.374+0.438+1.456+9.51)/180</f>
        <v>0.10126666666666667</v>
      </c>
      <c r="AN12" s="169">
        <f t="shared" si="1"/>
        <v>0.10258100000000001</v>
      </c>
      <c r="AO12" s="169">
        <f t="shared" si="2"/>
        <v>0.21058100000000002</v>
      </c>
      <c r="AP12" s="169">
        <f t="shared" si="3"/>
        <v>1.0234079945054946</v>
      </c>
    </row>
    <row r="13" spans="1:44" ht="22.15" customHeight="1">
      <c r="A13" s="150">
        <v>10</v>
      </c>
      <c r="B13" s="150">
        <v>10</v>
      </c>
      <c r="C13" s="174" t="s">
        <v>101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8"/>
      <c r="P13" s="166"/>
      <c r="Q13" s="168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>
        <v>2.08</v>
      </c>
      <c r="AL13" s="166">
        <v>3.58</v>
      </c>
      <c r="AM13" s="166">
        <f>641/180</f>
        <v>3.5611111111111109</v>
      </c>
      <c r="AN13" s="169">
        <f t="shared" si="1"/>
        <v>2.08</v>
      </c>
      <c r="AO13" s="169">
        <f t="shared" si="2"/>
        <v>3.58</v>
      </c>
      <c r="AP13" s="169">
        <f t="shared" si="3"/>
        <v>3.5611111111111109</v>
      </c>
    </row>
    <row r="14" spans="1:44" ht="22.15" customHeight="1">
      <c r="A14" s="150">
        <v>11</v>
      </c>
      <c r="B14" s="150">
        <v>11</v>
      </c>
      <c r="C14" s="174" t="s">
        <v>129</v>
      </c>
      <c r="D14" s="166">
        <v>1.4E-2</v>
      </c>
      <c r="E14" s="166"/>
      <c r="F14" s="166">
        <f>6/180</f>
        <v>3.3333333333333333E-2</v>
      </c>
      <c r="G14" s="166">
        <v>3.7999999999999999E-2</v>
      </c>
      <c r="H14" s="166"/>
      <c r="I14" s="166">
        <f>835/210</f>
        <v>3.9761904761904763</v>
      </c>
      <c r="J14" s="166">
        <v>11.906000000000001</v>
      </c>
      <c r="K14" s="166">
        <v>143.708</v>
      </c>
      <c r="L14" s="166"/>
      <c r="M14" s="166">
        <v>0.183</v>
      </c>
      <c r="N14" s="166">
        <v>0.66700000000000004</v>
      </c>
      <c r="O14" s="168">
        <f>982/175</f>
        <v>5.6114285714285712</v>
      </c>
      <c r="P14" s="166">
        <v>9.7000000000000003E-2</v>
      </c>
      <c r="Q14" s="168"/>
      <c r="R14" s="166">
        <f>227/80</f>
        <v>2.8374999999999999</v>
      </c>
      <c r="S14" s="166">
        <v>2.274</v>
      </c>
      <c r="T14" s="166">
        <v>17.969000000000001</v>
      </c>
      <c r="U14" s="166"/>
      <c r="V14" s="166">
        <v>15.56</v>
      </c>
      <c r="W14" s="166">
        <v>133.828</v>
      </c>
      <c r="X14" s="166"/>
      <c r="Y14" s="166">
        <v>1.7999999999999999E-2</v>
      </c>
      <c r="Z14" s="166"/>
      <c r="AA14" s="166">
        <f>25/130</f>
        <v>0.19230769230769232</v>
      </c>
      <c r="AB14" s="166">
        <v>5.5039999999999996</v>
      </c>
      <c r="AC14" s="166">
        <v>19.407</v>
      </c>
      <c r="AD14" s="166">
        <f>1731/130</f>
        <v>13.315384615384616</v>
      </c>
      <c r="AE14" s="166">
        <v>2.161</v>
      </c>
      <c r="AF14" s="166">
        <v>18.600999999999999</v>
      </c>
      <c r="AG14" s="166">
        <f>158/180</f>
        <v>0.87777777777777777</v>
      </c>
      <c r="AH14" s="166"/>
      <c r="AI14" s="166"/>
      <c r="AJ14" s="166"/>
      <c r="AK14" s="166">
        <f>1.151+0.002</f>
        <v>1.153</v>
      </c>
      <c r="AL14" s="166">
        <v>5.3010000000000002</v>
      </c>
      <c r="AM14" s="166">
        <f>4/180</f>
        <v>2.2222222222222223E-2</v>
      </c>
      <c r="AN14" s="169">
        <f t="shared" si="1"/>
        <v>38.908000000000001</v>
      </c>
      <c r="AO14" s="169">
        <f t="shared" si="2"/>
        <v>339.48099999999999</v>
      </c>
      <c r="AP14" s="169">
        <f t="shared" si="3"/>
        <v>26.866144688644688</v>
      </c>
    </row>
    <row r="15" spans="1:44" ht="22.15" customHeight="1">
      <c r="A15" s="150">
        <v>12</v>
      </c>
      <c r="B15" s="170">
        <v>12</v>
      </c>
      <c r="C15" s="180" t="s">
        <v>103</v>
      </c>
      <c r="D15" s="189">
        <v>6.0000000000000001E-3</v>
      </c>
      <c r="E15" s="190">
        <v>2.5000000000000001E-2</v>
      </c>
      <c r="F15" s="190"/>
      <c r="G15" s="190"/>
      <c r="H15" s="190"/>
      <c r="I15" s="190"/>
      <c r="J15" s="190">
        <v>4.0000000000000001E-3</v>
      </c>
      <c r="K15" s="190">
        <v>6.0000000000000001E-3</v>
      </c>
      <c r="L15" s="190"/>
      <c r="M15" s="190">
        <v>7.0000000000000001E-3</v>
      </c>
      <c r="N15" s="191">
        <v>8.9999999999999993E-3</v>
      </c>
      <c r="O15" s="184"/>
      <c r="P15" s="189"/>
      <c r="Q15" s="192"/>
      <c r="R15" s="190"/>
      <c r="S15" s="190">
        <v>1.9E-2</v>
      </c>
      <c r="T15" s="190">
        <v>2.1999999999999999E-2</v>
      </c>
      <c r="U15" s="190"/>
      <c r="V15" s="190">
        <v>1.7999999999999999E-2</v>
      </c>
      <c r="W15" s="190">
        <v>8.6999999999999994E-2</v>
      </c>
      <c r="X15" s="190"/>
      <c r="Y15" s="190">
        <v>5.0000000000000001E-3</v>
      </c>
      <c r="Z15" s="190">
        <v>2E-3</v>
      </c>
      <c r="AA15" s="190"/>
      <c r="AB15" s="191">
        <v>1.7000000000000001E-2</v>
      </c>
      <c r="AC15" s="193">
        <v>0.02</v>
      </c>
      <c r="AD15" s="193"/>
      <c r="AE15" s="193"/>
      <c r="AF15" s="193"/>
      <c r="AG15" s="193"/>
      <c r="AH15" s="193"/>
      <c r="AI15" s="193"/>
      <c r="AJ15" s="193"/>
      <c r="AK15" s="193">
        <v>0.20499999999999999</v>
      </c>
      <c r="AL15" s="193">
        <v>6.7000000000000004E-2</v>
      </c>
      <c r="AM15" s="193"/>
      <c r="AN15" s="169">
        <f t="shared" si="1"/>
        <v>0.28100000000000003</v>
      </c>
      <c r="AO15" s="169">
        <f t="shared" si="2"/>
        <v>0.23799999999999999</v>
      </c>
      <c r="AP15" s="169">
        <f t="shared" si="3"/>
        <v>0</v>
      </c>
      <c r="AR15" s="161" t="s">
        <v>228</v>
      </c>
    </row>
    <row r="16" spans="1:44" ht="22.15" customHeight="1">
      <c r="A16" s="150">
        <v>13</v>
      </c>
      <c r="B16" s="150">
        <v>13</v>
      </c>
      <c r="C16" s="174" t="s">
        <v>104</v>
      </c>
      <c r="D16" s="166"/>
      <c r="E16" s="166"/>
      <c r="F16" s="166"/>
      <c r="G16" s="166">
        <v>0.02</v>
      </c>
      <c r="H16" s="166">
        <v>0.11</v>
      </c>
      <c r="I16" s="166"/>
      <c r="J16" s="166">
        <v>1.51</v>
      </c>
      <c r="K16" s="166">
        <v>19.59</v>
      </c>
      <c r="L16" s="166"/>
      <c r="M16" s="166">
        <v>0.02</v>
      </c>
      <c r="N16" s="166">
        <v>0.04</v>
      </c>
      <c r="O16" s="168"/>
      <c r="P16" s="166">
        <v>1.01</v>
      </c>
      <c r="Q16" s="168">
        <v>8.33</v>
      </c>
      <c r="R16" s="166"/>
      <c r="S16" s="166">
        <v>0.1</v>
      </c>
      <c r="T16" s="166">
        <v>0.55000000000000004</v>
      </c>
      <c r="U16" s="166"/>
      <c r="V16" s="166">
        <v>21.18</v>
      </c>
      <c r="W16" s="166">
        <v>276.04000000000002</v>
      </c>
      <c r="X16" s="166"/>
      <c r="Y16" s="166">
        <v>7.0000000000000007E-2</v>
      </c>
      <c r="Z16" s="166">
        <v>0.18</v>
      </c>
      <c r="AA16" s="166"/>
      <c r="AB16" s="166">
        <v>3.79</v>
      </c>
      <c r="AC16" s="166">
        <v>34.39</v>
      </c>
      <c r="AD16" s="166"/>
      <c r="AE16" s="166">
        <v>0.25</v>
      </c>
      <c r="AF16" s="166">
        <v>2.98</v>
      </c>
      <c r="AG16" s="166"/>
      <c r="AH16" s="166"/>
      <c r="AI16" s="166"/>
      <c r="AJ16" s="166"/>
      <c r="AK16" s="166">
        <v>9.18</v>
      </c>
      <c r="AL16" s="166">
        <v>79.94</v>
      </c>
      <c r="AM16" s="166"/>
      <c r="AN16" s="169">
        <f t="shared" si="1"/>
        <v>37.129999999999995</v>
      </c>
      <c r="AO16" s="169">
        <f t="shared" si="2"/>
        <v>422.15000000000003</v>
      </c>
      <c r="AP16" s="169">
        <f t="shared" si="3"/>
        <v>0</v>
      </c>
    </row>
    <row r="17" spans="1:42" ht="22.15" customHeight="1">
      <c r="A17" s="150">
        <v>14</v>
      </c>
      <c r="B17" s="170">
        <v>14</v>
      </c>
      <c r="C17" s="180" t="s">
        <v>105</v>
      </c>
      <c r="D17" s="172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>
        <v>11.917999999999999</v>
      </c>
      <c r="AL17" s="173">
        <v>67.933999999999997</v>
      </c>
      <c r="AM17" s="173">
        <f>60.717/180</f>
        <v>0.33731666666666665</v>
      </c>
      <c r="AN17" s="169">
        <f t="shared" si="1"/>
        <v>11.917999999999999</v>
      </c>
      <c r="AO17" s="169">
        <f t="shared" si="2"/>
        <v>67.933999999999997</v>
      </c>
      <c r="AP17" s="169">
        <f t="shared" si="3"/>
        <v>0.33731666666666665</v>
      </c>
    </row>
    <row r="18" spans="1:42" ht="22.15" customHeight="1">
      <c r="A18" s="150">
        <v>15</v>
      </c>
      <c r="B18" s="194">
        <v>15</v>
      </c>
      <c r="C18" s="195" t="s">
        <v>106</v>
      </c>
      <c r="D18" s="196">
        <f>1/1000</f>
        <v>1E-3</v>
      </c>
      <c r="E18" s="197"/>
      <c r="F18" s="197">
        <f>1/180</f>
        <v>5.5555555555555558E-3</v>
      </c>
      <c r="G18" s="197">
        <f>1/1000</f>
        <v>1E-3</v>
      </c>
      <c r="H18" s="197"/>
      <c r="I18" s="197">
        <f>1.1/210</f>
        <v>5.2380952380952387E-3</v>
      </c>
      <c r="J18" s="197"/>
      <c r="K18" s="197"/>
      <c r="L18" s="197"/>
      <c r="M18" s="197">
        <f>4.7/1000</f>
        <v>4.7000000000000002E-3</v>
      </c>
      <c r="N18" s="198"/>
      <c r="O18" s="199">
        <f>1.32/175</f>
        <v>7.5428571428571428E-3</v>
      </c>
      <c r="P18" s="196">
        <f>(0.5+6.7)/1000</f>
        <v>7.1999999999999998E-3</v>
      </c>
      <c r="Q18" s="200"/>
      <c r="R18" s="197">
        <f>(0.8+3.296)/80</f>
        <v>5.1200000000000002E-2</v>
      </c>
      <c r="S18" s="197"/>
      <c r="T18" s="197"/>
      <c r="U18" s="197"/>
      <c r="V18" s="197">
        <f>(10.7+11.8)/1000</f>
        <v>2.2499999999999999E-2</v>
      </c>
      <c r="W18" s="197">
        <f>(1.21+2.27)/1000</f>
        <v>3.48E-3</v>
      </c>
      <c r="X18" s="197"/>
      <c r="Y18" s="197"/>
      <c r="Z18" s="197"/>
      <c r="AA18" s="197"/>
      <c r="AB18" s="197">
        <f>10.4/1000</f>
        <v>1.04E-2</v>
      </c>
      <c r="AC18" s="197"/>
      <c r="AD18" s="197">
        <f>0.22899/130</f>
        <v>1.7614615384615384E-3</v>
      </c>
      <c r="AE18" s="197"/>
      <c r="AF18" s="197"/>
      <c r="AG18" s="197"/>
      <c r="AH18" s="197"/>
      <c r="AI18" s="197"/>
      <c r="AJ18" s="197"/>
      <c r="AK18" s="197">
        <f>(2.5+5+11.23+1+1+0.1+1.7)/1000</f>
        <v>2.2530000000000001E-2</v>
      </c>
      <c r="AL18" s="197">
        <f>2.5/1000</f>
        <v>2.5000000000000001E-3</v>
      </c>
      <c r="AM18" s="201">
        <f>(2.48+6.32+4.39661+1.2+1.4+0.3+2.3)/180</f>
        <v>0.10220338888888889</v>
      </c>
      <c r="AN18" s="169">
        <f t="shared" si="1"/>
        <v>6.9330000000000003E-2</v>
      </c>
      <c r="AO18" s="169">
        <f t="shared" si="2"/>
        <v>5.9800000000000001E-3</v>
      </c>
      <c r="AP18" s="169">
        <f t="shared" si="3"/>
        <v>0.17350135836385838</v>
      </c>
    </row>
    <row r="19" spans="1:42" ht="22.15" customHeight="1">
      <c r="A19" s="150">
        <v>16</v>
      </c>
      <c r="B19" s="150">
        <v>16</v>
      </c>
      <c r="C19" s="174" t="s">
        <v>107</v>
      </c>
      <c r="D19" s="166">
        <v>3.0089999999999999</v>
      </c>
      <c r="E19" s="166"/>
      <c r="F19" s="166">
        <f>5/180</f>
        <v>2.7777777777777776E-2</v>
      </c>
      <c r="G19" s="166">
        <v>1.9710000000000001</v>
      </c>
      <c r="H19" s="166"/>
      <c r="I19" s="166">
        <f>24/210</f>
        <v>0.11428571428571428</v>
      </c>
      <c r="J19" s="166">
        <v>4.4999999999999998E-2</v>
      </c>
      <c r="K19" s="166"/>
      <c r="L19" s="166"/>
      <c r="M19" s="166">
        <v>4.2850000000000001</v>
      </c>
      <c r="N19" s="166"/>
      <c r="O19" s="168">
        <f>24/175</f>
        <v>0.13714285714285715</v>
      </c>
      <c r="P19" s="166"/>
      <c r="Q19" s="168"/>
      <c r="R19" s="166"/>
      <c r="S19" s="166"/>
      <c r="T19" s="166"/>
      <c r="U19" s="166"/>
      <c r="V19" s="166"/>
      <c r="W19" s="166"/>
      <c r="X19" s="166"/>
      <c r="Y19" s="166">
        <v>2.1110000000000002</v>
      </c>
      <c r="Z19" s="166"/>
      <c r="AA19" s="166">
        <f>7/130</f>
        <v>5.3846153846153849E-2</v>
      </c>
      <c r="AB19" s="166">
        <v>0.375</v>
      </c>
      <c r="AC19" s="166"/>
      <c r="AD19" s="166">
        <v>0</v>
      </c>
      <c r="AE19" s="166"/>
      <c r="AF19" s="166"/>
      <c r="AG19" s="166"/>
      <c r="AH19" s="166"/>
      <c r="AI19" s="166"/>
      <c r="AJ19" s="166"/>
      <c r="AK19" s="166">
        <v>0.67400000000000004</v>
      </c>
      <c r="AL19" s="166"/>
      <c r="AM19" s="166">
        <f>4/180</f>
        <v>2.2222222222222223E-2</v>
      </c>
      <c r="AN19" s="169">
        <f t="shared" si="1"/>
        <v>12.47</v>
      </c>
      <c r="AO19" s="169">
        <f t="shared" si="2"/>
        <v>0</v>
      </c>
      <c r="AP19" s="169">
        <f t="shared" si="3"/>
        <v>0.35527472527472531</v>
      </c>
    </row>
    <row r="20" spans="1:42" ht="23.45" customHeight="1">
      <c r="A20" s="150">
        <v>17</v>
      </c>
      <c r="B20" s="150">
        <v>17</v>
      </c>
      <c r="C20" s="174" t="s">
        <v>108</v>
      </c>
      <c r="D20" s="166">
        <v>1.0999999999999999E-2</v>
      </c>
      <c r="E20" s="179"/>
      <c r="F20" s="166">
        <f>95.824/180</f>
        <v>0.53235555555555558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79"/>
      <c r="R20" s="168"/>
      <c r="S20" s="166"/>
      <c r="T20" s="166"/>
      <c r="U20" s="166"/>
      <c r="V20" s="166"/>
      <c r="W20" s="166"/>
      <c r="X20" s="166"/>
      <c r="Y20" s="166">
        <v>1.4999999999999999E-2</v>
      </c>
      <c r="Z20" s="179"/>
      <c r="AA20" s="166">
        <f>0.184/130</f>
        <v>1.4153846153846154E-3</v>
      </c>
      <c r="AB20" s="166">
        <v>2.4199999999999999E-2</v>
      </c>
      <c r="AC20" s="179"/>
      <c r="AD20" s="166">
        <f>34.03/130</f>
        <v>0.26176923076923075</v>
      </c>
      <c r="AE20" s="166"/>
      <c r="AF20" s="166"/>
      <c r="AG20" s="166"/>
      <c r="AH20" s="166"/>
      <c r="AI20" s="166"/>
      <c r="AJ20" s="166"/>
      <c r="AK20" s="166">
        <v>3.2000000000000001E-2</v>
      </c>
      <c r="AL20" s="166"/>
      <c r="AM20" s="166">
        <f>1.37/180</f>
        <v>7.6111111111111119E-3</v>
      </c>
      <c r="AN20" s="169">
        <f t="shared" si="1"/>
        <v>8.2199999999999995E-2</v>
      </c>
      <c r="AO20" s="169">
        <f t="shared" si="2"/>
        <v>0</v>
      </c>
      <c r="AP20" s="169">
        <f t="shared" si="3"/>
        <v>0.80315128205128206</v>
      </c>
    </row>
    <row r="21" spans="1:42" ht="22.15" customHeight="1">
      <c r="A21" s="150">
        <v>18</v>
      </c>
      <c r="B21" s="150">
        <v>18</v>
      </c>
      <c r="C21" s="202" t="s">
        <v>109</v>
      </c>
      <c r="D21" s="166">
        <v>0.02</v>
      </c>
      <c r="E21" s="166"/>
      <c r="F21" s="166">
        <v>5.6000000000000001E-2</v>
      </c>
      <c r="G21" s="166">
        <v>2E-3</v>
      </c>
      <c r="H21" s="166"/>
      <c r="I21" s="166">
        <v>2E-3</v>
      </c>
      <c r="J21" s="166"/>
      <c r="K21" s="166"/>
      <c r="L21" s="166"/>
      <c r="M21" s="166">
        <v>1.4E-2</v>
      </c>
      <c r="N21" s="166"/>
      <c r="O21" s="168">
        <v>1E-3</v>
      </c>
      <c r="P21" s="166">
        <v>1E-3</v>
      </c>
      <c r="Q21" s="168"/>
      <c r="R21" s="166">
        <v>2.5000000000000001E-2</v>
      </c>
      <c r="S21" s="166"/>
      <c r="T21" s="166"/>
      <c r="U21" s="166"/>
      <c r="V21" s="166"/>
      <c r="W21" s="166"/>
      <c r="X21" s="166"/>
      <c r="Y21" s="166">
        <v>5.0000000000000001E-3</v>
      </c>
      <c r="Z21" s="166"/>
      <c r="AA21" s="166">
        <v>0</v>
      </c>
      <c r="AB21" s="166">
        <v>1E-3</v>
      </c>
      <c r="AC21" s="166"/>
      <c r="AD21" s="166">
        <v>7.6999999999999999E-2</v>
      </c>
      <c r="AE21" s="166"/>
      <c r="AF21" s="166"/>
      <c r="AG21" s="166"/>
      <c r="AH21" s="166"/>
      <c r="AI21" s="166"/>
      <c r="AJ21" s="166"/>
      <c r="AK21" s="166">
        <f>(0+0.003)</f>
        <v>3.0000000000000001E-3</v>
      </c>
      <c r="AL21" s="166"/>
      <c r="AM21" s="166">
        <f>0.05+0.009</f>
        <v>5.9000000000000004E-2</v>
      </c>
      <c r="AN21" s="169">
        <f t="shared" si="1"/>
        <v>4.5999999999999999E-2</v>
      </c>
      <c r="AO21" s="169">
        <f t="shared" si="2"/>
        <v>0</v>
      </c>
      <c r="AP21" s="169">
        <f t="shared" si="3"/>
        <v>0.22</v>
      </c>
    </row>
    <row r="22" spans="1:42" ht="22.15" customHeight="1">
      <c r="A22" s="150">
        <v>19</v>
      </c>
      <c r="B22" s="170">
        <v>19</v>
      </c>
      <c r="C22" s="180" t="s">
        <v>110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>
        <v>0.02</v>
      </c>
      <c r="N22" s="173"/>
      <c r="O22" s="173">
        <f>310.33/175</f>
        <v>1.7733142857142856</v>
      </c>
      <c r="P22" s="173">
        <v>0.61</v>
      </c>
      <c r="Q22" s="173"/>
      <c r="R22" s="173">
        <f>605.33/80</f>
        <v>7.5666250000000002</v>
      </c>
      <c r="S22" s="173"/>
      <c r="T22" s="173"/>
      <c r="U22" s="173"/>
      <c r="V22" s="173">
        <v>3.06</v>
      </c>
      <c r="W22" s="173">
        <v>30.51</v>
      </c>
      <c r="X22" s="173"/>
      <c r="Y22" s="173"/>
      <c r="Z22" s="173"/>
      <c r="AA22" s="173"/>
      <c r="AB22" s="173">
        <v>1.52</v>
      </c>
      <c r="AC22" s="173"/>
      <c r="AD22" s="173">
        <f>3164.39/130</f>
        <v>24.341461538461537</v>
      </c>
      <c r="AE22" s="173">
        <v>0.4</v>
      </c>
      <c r="AF22" s="173">
        <v>1.1100000000000001</v>
      </c>
      <c r="AG22" s="173"/>
      <c r="AH22" s="173"/>
      <c r="AI22" s="173"/>
      <c r="AJ22" s="173"/>
      <c r="AK22" s="173"/>
      <c r="AL22" s="173"/>
      <c r="AM22" s="173"/>
      <c r="AN22" s="169">
        <f t="shared" si="1"/>
        <v>5.61</v>
      </c>
      <c r="AO22" s="169">
        <f t="shared" si="2"/>
        <v>31.62</v>
      </c>
      <c r="AP22" s="169">
        <f t="shared" si="3"/>
        <v>33.681400824175824</v>
      </c>
    </row>
    <row r="23" spans="1:42" s="147" customFormat="1" ht="22.15" customHeight="1">
      <c r="A23" s="152">
        <v>20</v>
      </c>
      <c r="B23" s="150">
        <v>20</v>
      </c>
      <c r="C23" s="96" t="s">
        <v>111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8"/>
      <c r="P23" s="166"/>
      <c r="Q23" s="168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>
        <v>2.1949999999999998</v>
      </c>
      <c r="AL23" s="166">
        <v>13.78</v>
      </c>
      <c r="AM23" s="166"/>
      <c r="AN23" s="169">
        <f t="shared" si="1"/>
        <v>2.1949999999999998</v>
      </c>
      <c r="AO23" s="169">
        <f t="shared" si="2"/>
        <v>13.78</v>
      </c>
      <c r="AP23" s="169">
        <f t="shared" si="3"/>
        <v>0</v>
      </c>
    </row>
    <row r="24" spans="1:42" ht="22.15" customHeight="1">
      <c r="A24" s="150">
        <v>21</v>
      </c>
      <c r="B24" s="150">
        <v>21</v>
      </c>
      <c r="C24" s="174" t="s">
        <v>112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8"/>
      <c r="P24" s="166"/>
      <c r="Q24" s="168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>
        <v>3.65</v>
      </c>
      <c r="AL24" s="166">
        <v>8.1199999999999992</v>
      </c>
      <c r="AM24" s="166"/>
      <c r="AN24" s="169">
        <f t="shared" si="1"/>
        <v>3.65</v>
      </c>
      <c r="AO24" s="169">
        <f t="shared" si="2"/>
        <v>8.1199999999999992</v>
      </c>
      <c r="AP24" s="169">
        <f t="shared" si="3"/>
        <v>0</v>
      </c>
    </row>
    <row r="25" spans="1:42" ht="22.15" customHeight="1">
      <c r="A25" s="150">
        <v>22</v>
      </c>
      <c r="B25" s="170">
        <v>22</v>
      </c>
      <c r="C25" s="180" t="s">
        <v>113</v>
      </c>
      <c r="D25" s="189">
        <v>1.0999999999999999E-2</v>
      </c>
      <c r="E25" s="190"/>
      <c r="F25" s="190">
        <v>2.7777777777777776E-2</v>
      </c>
      <c r="G25" s="190">
        <v>7.0000000000000001E-3</v>
      </c>
      <c r="H25" s="190"/>
      <c r="I25" s="190">
        <v>4.2857142857142858E-2</v>
      </c>
      <c r="J25" s="190"/>
      <c r="K25" s="190"/>
      <c r="L25" s="190"/>
      <c r="M25" s="190">
        <v>3.1E-2</v>
      </c>
      <c r="N25" s="191"/>
      <c r="O25" s="184">
        <v>6.2040816326530614E-4</v>
      </c>
      <c r="P25" s="189">
        <v>3.4000000000000002E-2</v>
      </c>
      <c r="Q25" s="192"/>
      <c r="R25" s="190">
        <v>1.0937499999999999E-2</v>
      </c>
      <c r="S25" s="190"/>
      <c r="T25" s="190"/>
      <c r="U25" s="190"/>
      <c r="V25" s="190">
        <v>1.7000000000000001E-2</v>
      </c>
      <c r="W25" s="190">
        <v>16.5</v>
      </c>
      <c r="X25" s="190"/>
      <c r="Y25" s="190">
        <v>3.7999999999999999E-2</v>
      </c>
      <c r="Z25" s="190"/>
      <c r="AA25" s="190">
        <v>1.051939513477975E-5</v>
      </c>
      <c r="AB25" s="191">
        <v>2.5000000000000001E-2</v>
      </c>
      <c r="AC25" s="193"/>
      <c r="AD25" s="193">
        <v>1.4201183431952664E-3</v>
      </c>
      <c r="AE25" s="193"/>
      <c r="AF25" s="193"/>
      <c r="AG25" s="193"/>
      <c r="AH25" s="193"/>
      <c r="AI25" s="193"/>
      <c r="AJ25" s="189"/>
      <c r="AK25" s="190">
        <v>7.9000000000000001E-2</v>
      </c>
      <c r="AL25" s="190"/>
      <c r="AM25" s="193">
        <v>2.4382716049382715E-3</v>
      </c>
      <c r="AN25" s="169">
        <f t="shared" si="1"/>
        <v>0.24199999999999999</v>
      </c>
      <c r="AO25" s="169">
        <f t="shared" si="2"/>
        <v>16.5</v>
      </c>
      <c r="AP25" s="169">
        <f t="shared" si="3"/>
        <v>8.6061738141454264E-2</v>
      </c>
    </row>
    <row r="26" spans="1:42" ht="22.15" customHeight="1">
      <c r="A26" s="150">
        <v>23</v>
      </c>
      <c r="B26" s="150">
        <v>23</v>
      </c>
      <c r="C26" s="174" t="s">
        <v>114</v>
      </c>
      <c r="D26" s="203"/>
      <c r="E26" s="179"/>
      <c r="F26" s="179"/>
      <c r="G26" s="179">
        <v>7.2599999999999998E-2</v>
      </c>
      <c r="H26" s="179">
        <v>1.8512999999999999</v>
      </c>
      <c r="I26" s="179"/>
      <c r="J26" s="179">
        <v>9.0821199999999997</v>
      </c>
      <c r="K26" s="179">
        <v>169.29071999999999</v>
      </c>
      <c r="L26" s="179"/>
      <c r="M26" s="179"/>
      <c r="N26" s="179"/>
      <c r="O26" s="179"/>
      <c r="P26" s="179"/>
      <c r="Q26" s="179"/>
      <c r="R26" s="179"/>
      <c r="S26" s="179">
        <f>13.12187+0.9907+2.29295+0.59828</f>
        <v>17.003799999999998</v>
      </c>
      <c r="T26" s="179">
        <f>134.02223+13.65185+23.99812+7.19908</f>
        <v>178.87128000000001</v>
      </c>
      <c r="U26" s="179"/>
      <c r="V26" s="179">
        <v>3.5343</v>
      </c>
      <c r="W26" s="179">
        <v>100.13445</v>
      </c>
      <c r="X26" s="179"/>
      <c r="Y26" s="179"/>
      <c r="Z26" s="179"/>
      <c r="AA26" s="179"/>
      <c r="AB26" s="179">
        <f>3.55825+0.003</f>
        <v>3.5612500000000002</v>
      </c>
      <c r="AC26" s="173">
        <v>33.342550000000003</v>
      </c>
      <c r="AD26" s="173">
        <f>27.27/130</f>
        <v>0.20976923076923076</v>
      </c>
      <c r="AE26" s="173">
        <v>6.9847460000000003</v>
      </c>
      <c r="AF26" s="173">
        <v>67.048509999999993</v>
      </c>
      <c r="AG26" s="173"/>
      <c r="AH26" s="173"/>
      <c r="AI26" s="173"/>
      <c r="AJ26" s="179"/>
      <c r="AK26" s="179">
        <f>2.40399+0.71272+1.25505+0.01135+0.25693+0.25944</f>
        <v>4.8994799999999996</v>
      </c>
      <c r="AL26" s="179">
        <f>26.4127+10.06361+2.67467+0.09332+1.79851+6.95969</f>
        <v>48.002499999999998</v>
      </c>
      <c r="AM26" s="179"/>
      <c r="AN26" s="169">
        <f t="shared" si="1"/>
        <v>45.138295999999997</v>
      </c>
      <c r="AO26" s="169">
        <f t="shared" si="2"/>
        <v>598.54131000000007</v>
      </c>
      <c r="AP26" s="169">
        <f t="shared" si="3"/>
        <v>0.20976923076923076</v>
      </c>
    </row>
    <row r="27" spans="1:42" ht="22.15" customHeight="1">
      <c r="A27" s="150">
        <v>24</v>
      </c>
      <c r="B27" s="150">
        <v>24</v>
      </c>
      <c r="C27" s="204" t="s">
        <v>115</v>
      </c>
      <c r="D27" s="166"/>
      <c r="E27" s="166"/>
      <c r="F27" s="166"/>
      <c r="G27" s="166">
        <f>0.81/1000</f>
        <v>8.1000000000000006E-4</v>
      </c>
      <c r="H27" s="166"/>
      <c r="I27" s="166">
        <f>0.4/210</f>
        <v>1.9047619047619048E-3</v>
      </c>
      <c r="J27" s="166">
        <f>1.28362+0.03898</f>
        <v>1.3226</v>
      </c>
      <c r="K27" s="166">
        <v>47.129779999999997</v>
      </c>
      <c r="L27" s="166">
        <f>445.15/180</f>
        <v>2.4730555555555553</v>
      </c>
      <c r="M27" s="166">
        <v>7.2389999999999996E-2</v>
      </c>
      <c r="N27" s="166"/>
      <c r="O27" s="168">
        <f>690.09/175</f>
        <v>3.943371428571429</v>
      </c>
      <c r="P27" s="166">
        <v>9.1E-4</v>
      </c>
      <c r="Q27" s="168"/>
      <c r="R27" s="166">
        <f>1.8/80</f>
        <v>2.2499999999999999E-2</v>
      </c>
      <c r="S27" s="166">
        <v>0.18245</v>
      </c>
      <c r="T27" s="166">
        <v>0.35425000000000001</v>
      </c>
      <c r="U27" s="166"/>
      <c r="V27" s="166">
        <v>0.76048000000000004</v>
      </c>
      <c r="W27" s="166">
        <v>7.0672499999999996</v>
      </c>
      <c r="X27" s="166"/>
      <c r="Y27" s="166">
        <v>1.453E-2</v>
      </c>
      <c r="Z27" s="166"/>
      <c r="AA27" s="166">
        <f>88.75/130</f>
        <v>0.68269230769230771</v>
      </c>
      <c r="AB27" s="166">
        <f>1.24274+0.0024</f>
        <v>1.2451399999999999</v>
      </c>
      <c r="AC27" s="166">
        <v>2.4547099999999999</v>
      </c>
      <c r="AD27" s="166">
        <f>17.78/130</f>
        <v>0.13676923076923078</v>
      </c>
      <c r="AE27" s="166">
        <f>0.25086+0.00628</f>
        <v>0.25714000000000004</v>
      </c>
      <c r="AF27" s="166">
        <v>6.2151500000000004</v>
      </c>
      <c r="AG27" s="166">
        <f>60.9/180</f>
        <v>0.33833333333333332</v>
      </c>
      <c r="AH27" s="166"/>
      <c r="AI27" s="166"/>
      <c r="AJ27" s="166"/>
      <c r="AK27" s="166">
        <f>0.0004+0.19422</f>
        <v>0.19462000000000002</v>
      </c>
      <c r="AL27" s="166">
        <f>0.008+0.98089</f>
        <v>0.98889000000000005</v>
      </c>
      <c r="AM27" s="166"/>
      <c r="AN27" s="169">
        <f t="shared" si="1"/>
        <v>4.0510700000000002</v>
      </c>
      <c r="AO27" s="169">
        <f t="shared" si="2"/>
        <v>64.210030000000003</v>
      </c>
      <c r="AP27" s="169">
        <f t="shared" si="3"/>
        <v>7.5986266178266177</v>
      </c>
    </row>
    <row r="28" spans="1:42" ht="22.15" customHeight="1">
      <c r="A28" s="150">
        <v>25</v>
      </c>
      <c r="B28" s="170">
        <v>25</v>
      </c>
      <c r="C28" s="180" t="s">
        <v>116</v>
      </c>
      <c r="D28" s="189"/>
      <c r="E28" s="190"/>
      <c r="F28" s="190"/>
      <c r="G28" s="190"/>
      <c r="H28" s="190"/>
      <c r="I28" s="190"/>
      <c r="J28" s="190"/>
      <c r="K28" s="190"/>
      <c r="L28" s="190"/>
      <c r="M28" s="190"/>
      <c r="N28" s="191"/>
      <c r="O28" s="184"/>
      <c r="P28" s="189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1"/>
      <c r="AC28" s="193"/>
      <c r="AD28" s="193"/>
      <c r="AE28" s="193"/>
      <c r="AF28" s="193"/>
      <c r="AG28" s="193"/>
      <c r="AH28" s="193"/>
      <c r="AI28" s="193"/>
      <c r="AJ28" s="189"/>
      <c r="AK28" s="190"/>
      <c r="AL28" s="190"/>
      <c r="AM28" s="193"/>
      <c r="AN28" s="169">
        <f t="shared" si="1"/>
        <v>0</v>
      </c>
      <c r="AO28" s="169">
        <f t="shared" si="2"/>
        <v>0</v>
      </c>
      <c r="AP28" s="169">
        <f t="shared" si="3"/>
        <v>0</v>
      </c>
    </row>
    <row r="29" spans="1:42" s="147" customFormat="1" ht="22.15" customHeight="1">
      <c r="A29" s="150">
        <v>26</v>
      </c>
      <c r="B29" s="150">
        <v>26</v>
      </c>
      <c r="C29" s="96" t="s">
        <v>117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8"/>
      <c r="P29" s="166">
        <v>3.7570000000000001</v>
      </c>
      <c r="Q29" s="168"/>
      <c r="R29" s="166">
        <v>47.006999999999998</v>
      </c>
      <c r="S29" s="166"/>
      <c r="T29" s="166"/>
      <c r="U29" s="166"/>
      <c r="V29" s="166">
        <v>4.5730000000000004</v>
      </c>
      <c r="W29" s="166">
        <v>9.1940000000000008</v>
      </c>
      <c r="X29" s="166"/>
      <c r="Y29" s="166"/>
      <c r="Z29" s="166"/>
      <c r="AA29" s="166"/>
      <c r="AB29" s="166">
        <v>14.425000000000001</v>
      </c>
      <c r="AC29" s="166">
        <v>40.463000000000001</v>
      </c>
      <c r="AD29" s="166">
        <v>22.773</v>
      </c>
      <c r="AE29" s="179"/>
      <c r="AF29" s="179"/>
      <c r="AG29" s="166"/>
      <c r="AH29" s="166"/>
      <c r="AI29" s="166"/>
      <c r="AJ29" s="166"/>
      <c r="AK29" s="166"/>
      <c r="AL29" s="166"/>
      <c r="AM29" s="166"/>
      <c r="AN29" s="169">
        <f t="shared" si="1"/>
        <v>22.755000000000003</v>
      </c>
      <c r="AO29" s="169">
        <f t="shared" si="2"/>
        <v>49.657000000000004</v>
      </c>
      <c r="AP29" s="169">
        <f t="shared" si="3"/>
        <v>69.78</v>
      </c>
    </row>
    <row r="30" spans="1:42" ht="22.15" customHeight="1">
      <c r="A30" s="150">
        <v>27</v>
      </c>
      <c r="B30" s="170">
        <v>27</v>
      </c>
      <c r="C30" s="180" t="s">
        <v>118</v>
      </c>
      <c r="D30" s="189"/>
      <c r="E30" s="190"/>
      <c r="F30" s="190"/>
      <c r="G30" s="190">
        <v>1.857E-2</v>
      </c>
      <c r="H30" s="190"/>
      <c r="I30" s="190">
        <f>52.39/210</f>
        <v>0.24947619047619049</v>
      </c>
      <c r="J30" s="190"/>
      <c r="K30" s="190"/>
      <c r="L30" s="190"/>
      <c r="M30" s="190">
        <v>0.10851</v>
      </c>
      <c r="N30" s="191"/>
      <c r="O30" s="184">
        <f>905.96/175</f>
        <v>5.176914285714286</v>
      </c>
      <c r="P30" s="189">
        <v>0.31328</v>
      </c>
      <c r="Q30" s="192"/>
      <c r="R30" s="190">
        <f>466.21/80</f>
        <v>5.8276249999999994</v>
      </c>
      <c r="S30" s="190"/>
      <c r="T30" s="190"/>
      <c r="U30" s="190"/>
      <c r="V30" s="190">
        <v>0.86107</v>
      </c>
      <c r="W30" s="190">
        <v>2.6819299999999999</v>
      </c>
      <c r="X30" s="190"/>
      <c r="Y30" s="190"/>
      <c r="Z30" s="190"/>
      <c r="AA30" s="190"/>
      <c r="AB30" s="190">
        <v>0.15606999999999999</v>
      </c>
      <c r="AC30" s="190">
        <v>0.17357</v>
      </c>
      <c r="AD30" s="190"/>
      <c r="AE30" s="190">
        <v>1.8200000000000001E-2</v>
      </c>
      <c r="AF30" s="190">
        <v>2.0049999999999998E-2</v>
      </c>
      <c r="AG30" s="190"/>
      <c r="AH30" s="190"/>
      <c r="AI30" s="190"/>
      <c r="AJ30" s="190"/>
      <c r="AK30" s="205">
        <f>0.00865+0.12575</f>
        <v>0.13439999999999999</v>
      </c>
      <c r="AL30" s="205">
        <v>0.14749999999999999</v>
      </c>
      <c r="AM30" s="206">
        <f>18.34/180</f>
        <v>0.10188888888888889</v>
      </c>
      <c r="AN30" s="169">
        <f t="shared" si="1"/>
        <v>1.6100999999999999</v>
      </c>
      <c r="AO30" s="169">
        <f t="shared" si="2"/>
        <v>3.02305</v>
      </c>
      <c r="AP30" s="169">
        <f t="shared" si="3"/>
        <v>11.355904365079365</v>
      </c>
    </row>
    <row r="31" spans="1:42" ht="22.15" customHeight="1">
      <c r="A31" s="150">
        <v>28</v>
      </c>
      <c r="B31" s="150">
        <v>28</v>
      </c>
      <c r="C31" s="174" t="s">
        <v>119</v>
      </c>
      <c r="D31" s="166">
        <v>4.0000000000000001E-3</v>
      </c>
      <c r="E31" s="166"/>
      <c r="F31" s="166">
        <f>(0.245/180)*100</f>
        <v>0.1361111111111111</v>
      </c>
      <c r="G31" s="166"/>
      <c r="H31" s="166"/>
      <c r="I31" s="166"/>
      <c r="J31" s="166">
        <v>0.73299999999999998</v>
      </c>
      <c r="K31" s="166"/>
      <c r="L31" s="166">
        <f>(17.549/180)*100</f>
        <v>9.7494444444444444</v>
      </c>
      <c r="M31" s="166">
        <v>1.4999999999999999E-2</v>
      </c>
      <c r="N31" s="166"/>
      <c r="O31" s="168">
        <f>(2.85/175)*100</f>
        <v>1.6285714285714286</v>
      </c>
      <c r="P31" s="166">
        <v>2.9990000000000001</v>
      </c>
      <c r="Q31" s="168"/>
      <c r="R31" s="166">
        <f>(44.171/80)*100</f>
        <v>55.213749999999997</v>
      </c>
      <c r="S31" s="166">
        <v>0.53200000000000003</v>
      </c>
      <c r="T31" s="166">
        <v>0.54700000000000004</v>
      </c>
      <c r="U31" s="166"/>
      <c r="V31" s="166">
        <v>7.7640000000000002</v>
      </c>
      <c r="W31" s="166">
        <v>63.789000000000001</v>
      </c>
      <c r="X31" s="166"/>
      <c r="Y31" s="166">
        <v>4.0000000000000001E-3</v>
      </c>
      <c r="Z31" s="166">
        <v>8.6999999999999994E-2</v>
      </c>
      <c r="AA31" s="166"/>
      <c r="AB31" s="166">
        <v>2.028</v>
      </c>
      <c r="AC31" s="166"/>
      <c r="AD31" s="166">
        <f>(85.898/130)*100</f>
        <v>66.075384615384607</v>
      </c>
      <c r="AE31" s="166">
        <v>7.8940000000000001</v>
      </c>
      <c r="AF31" s="166"/>
      <c r="AG31" s="166">
        <f>(156.084/180)*100</f>
        <v>86.713333333333338</v>
      </c>
      <c r="AH31" s="166"/>
      <c r="AI31" s="166"/>
      <c r="AJ31" s="166"/>
      <c r="AK31" s="166">
        <f>4.943+3.128</f>
        <v>8.0709999999999997</v>
      </c>
      <c r="AL31" s="166">
        <f>7.226+3.403</f>
        <v>10.629</v>
      </c>
      <c r="AM31" s="166"/>
      <c r="AN31" s="169">
        <f t="shared" si="1"/>
        <v>30.043999999999997</v>
      </c>
      <c r="AO31" s="169">
        <f t="shared" si="2"/>
        <v>75.052000000000007</v>
      </c>
      <c r="AP31" s="169">
        <f t="shared" si="3"/>
        <v>219.51659493284492</v>
      </c>
    </row>
    <row r="32" spans="1:42" ht="22.15" customHeight="1">
      <c r="A32" s="150">
        <v>29</v>
      </c>
      <c r="B32" s="170">
        <v>29</v>
      </c>
      <c r="C32" s="180" t="s">
        <v>185</v>
      </c>
      <c r="D32" s="189">
        <f>'Flowers (UT''s)'!D11</f>
        <v>0</v>
      </c>
      <c r="E32" s="189">
        <f>'Flowers (UT''s)'!E11</f>
        <v>0</v>
      </c>
      <c r="F32" s="189">
        <f>'Flowers (UT''s)'!F11</f>
        <v>0</v>
      </c>
      <c r="G32" s="189">
        <f>'Flowers (UT''s)'!G11</f>
        <v>0</v>
      </c>
      <c r="H32" s="189">
        <f>'Flowers (UT''s)'!H11</f>
        <v>0</v>
      </c>
      <c r="I32" s="189">
        <f>'Flowers (UT''s)'!I11</f>
        <v>0</v>
      </c>
      <c r="J32" s="189">
        <f>'Flowers (UT''s)'!J11</f>
        <v>0</v>
      </c>
      <c r="K32" s="189">
        <f>'Flowers (UT''s)'!K11</f>
        <v>0</v>
      </c>
      <c r="L32" s="189">
        <f>'Flowers (UT''s)'!L11</f>
        <v>0</v>
      </c>
      <c r="M32" s="189">
        <f>'Flowers (UT''s)'!M11</f>
        <v>0</v>
      </c>
      <c r="N32" s="189">
        <f>'Flowers (UT''s)'!N11</f>
        <v>0</v>
      </c>
      <c r="O32" s="189">
        <f>'Flowers (UT''s)'!O11</f>
        <v>0</v>
      </c>
      <c r="P32" s="189">
        <f>'Flowers (UT''s)'!P11</f>
        <v>0</v>
      </c>
      <c r="Q32" s="189">
        <f>'Flowers (UT''s)'!Q11</f>
        <v>0</v>
      </c>
      <c r="R32" s="189">
        <f>'Flowers (UT''s)'!R11</f>
        <v>0</v>
      </c>
      <c r="S32" s="189">
        <f>'Flowers (UT''s)'!S11</f>
        <v>2.6000000000000002E-2</v>
      </c>
      <c r="T32" s="189">
        <f>'Flowers (UT''s)'!T11</f>
        <v>0.19800000000000001</v>
      </c>
      <c r="U32" s="189">
        <f>'Flowers (UT''s)'!U11</f>
        <v>0</v>
      </c>
      <c r="V32" s="189">
        <f>'Flowers (UT''s)'!V11</f>
        <v>4.1999999999999996E-2</v>
      </c>
      <c r="W32" s="189">
        <f>'Flowers (UT''s)'!W11</f>
        <v>0.21000000000000002</v>
      </c>
      <c r="X32" s="189">
        <f>'Flowers (UT''s)'!X11</f>
        <v>1.6E-2</v>
      </c>
      <c r="Y32" s="189">
        <f>'Flowers (UT''s)'!Y11</f>
        <v>0</v>
      </c>
      <c r="Z32" s="189">
        <f>'Flowers (UT''s)'!Z11</f>
        <v>0</v>
      </c>
      <c r="AA32" s="189">
        <f>'Flowers (UT''s)'!AA11</f>
        <v>0</v>
      </c>
      <c r="AB32" s="189">
        <f>'Flowers (UT''s)'!AB11</f>
        <v>5.0000000000000001E-3</v>
      </c>
      <c r="AC32" s="189">
        <f>'Flowers (UT''s)'!AC11</f>
        <v>1.3000000000000001E-2</v>
      </c>
      <c r="AD32" s="189">
        <f>'Flowers (UT''s)'!AD11</f>
        <v>0</v>
      </c>
      <c r="AE32" s="189">
        <f>'Flowers (UT''s)'!AE11</f>
        <v>6.0000000000000001E-3</v>
      </c>
      <c r="AF32" s="189">
        <f>'Flowers (UT''s)'!AF11</f>
        <v>1.4999999999999999E-2</v>
      </c>
      <c r="AG32" s="189">
        <f>'Flowers (UT''s)'!AG11</f>
        <v>0</v>
      </c>
      <c r="AH32" s="189">
        <f>'Flowers (UT''s)'!AH11</f>
        <v>0</v>
      </c>
      <c r="AI32" s="189">
        <f>'Flowers (UT''s)'!AI11</f>
        <v>0</v>
      </c>
      <c r="AJ32" s="189">
        <f>'Flowers (UT''s)'!AJ11</f>
        <v>0</v>
      </c>
      <c r="AK32" s="189">
        <f>'Flowers (UT''s)'!AK11</f>
        <v>9.8619999999999999E-2</v>
      </c>
      <c r="AL32" s="189">
        <f>'Flowers (UT''s)'!AL11</f>
        <v>0.33100000000000002</v>
      </c>
      <c r="AM32" s="189">
        <f>'Flowers (UT''s)'!AM11</f>
        <v>0</v>
      </c>
      <c r="AN32" s="169">
        <f t="shared" si="1"/>
        <v>0.17762</v>
      </c>
      <c r="AO32" s="169">
        <f t="shared" si="2"/>
        <v>0.76700000000000013</v>
      </c>
      <c r="AP32" s="169">
        <f t="shared" si="3"/>
        <v>1.6E-2</v>
      </c>
    </row>
    <row r="33" spans="1:42" ht="22.15" customHeight="1">
      <c r="A33" s="207"/>
      <c r="B33" s="153"/>
      <c r="C33" s="208" t="s">
        <v>89</v>
      </c>
      <c r="D33" s="169">
        <f>D4+D5+D6+D7+D8+D9+D10+D11+D12+D13+D14+D15+D16+D17+D18+D19+D20+D21+D22+D23+D24+D25+D26+D27+D28+D29+D30+D31+D32</f>
        <v>3.2200300000000004</v>
      </c>
      <c r="E33" s="169">
        <f t="shared" ref="E33:AP33" si="4">E4+E5+E6+E7+E8+E9+E10+E11+E12+E13+E14+E15+E16+E17+E18+E19+E20+E21+E22+E23+E24+E25+E26+E27+E28+E29+E30+E31+E32</f>
        <v>0.97914999999999996</v>
      </c>
      <c r="F33" s="169">
        <f t="shared" si="4"/>
        <v>2.0133555555555556</v>
      </c>
      <c r="G33" s="169">
        <f t="shared" si="4"/>
        <v>2.429125</v>
      </c>
      <c r="H33" s="169">
        <f t="shared" si="4"/>
        <v>3.2983000000000002</v>
      </c>
      <c r="I33" s="169">
        <f t="shared" si="4"/>
        <v>10.296590476190477</v>
      </c>
      <c r="J33" s="169">
        <f t="shared" si="4"/>
        <v>28.321867000000005</v>
      </c>
      <c r="K33" s="169">
        <f t="shared" si="4"/>
        <v>537.55775499999993</v>
      </c>
      <c r="L33" s="169">
        <f t="shared" si="4"/>
        <v>18.521255555555555</v>
      </c>
      <c r="M33" s="169">
        <f t="shared" si="4"/>
        <v>5.5623229999999992</v>
      </c>
      <c r="N33" s="169">
        <f t="shared" si="4"/>
        <v>6.2110099999999999</v>
      </c>
      <c r="O33" s="169">
        <f t="shared" si="4"/>
        <v>25.849774693877553</v>
      </c>
      <c r="P33" s="169">
        <f t="shared" si="4"/>
        <v>11.410272000000001</v>
      </c>
      <c r="Q33" s="169">
        <f t="shared" si="4"/>
        <v>14.295</v>
      </c>
      <c r="R33" s="169">
        <f t="shared" si="4"/>
        <v>240.75268750000004</v>
      </c>
      <c r="S33" s="169">
        <f t="shared" si="4"/>
        <v>24.127349999999996</v>
      </c>
      <c r="T33" s="169">
        <f t="shared" si="4"/>
        <v>231.86253000000002</v>
      </c>
      <c r="U33" s="169">
        <f t="shared" si="4"/>
        <v>2.6950000000000003</v>
      </c>
      <c r="V33" s="169">
        <f t="shared" si="4"/>
        <v>80.452894000000015</v>
      </c>
      <c r="W33" s="169">
        <f t="shared" si="4"/>
        <v>870.984872</v>
      </c>
      <c r="X33" s="169">
        <f t="shared" si="4"/>
        <v>26.315999999999999</v>
      </c>
      <c r="Y33" s="169">
        <f t="shared" si="4"/>
        <v>3.0305300000000002</v>
      </c>
      <c r="Z33" s="169">
        <f t="shared" si="4"/>
        <v>5.2219999999999995</v>
      </c>
      <c r="AA33" s="169">
        <f t="shared" si="4"/>
        <v>10.914887442472057</v>
      </c>
      <c r="AB33" s="169">
        <f t="shared" si="4"/>
        <v>38.671532999999997</v>
      </c>
      <c r="AC33" s="169">
        <f t="shared" si="4"/>
        <v>172.94922700000001</v>
      </c>
      <c r="AD33" s="169">
        <f t="shared" si="4"/>
        <v>175.97646619526625</v>
      </c>
      <c r="AE33" s="169">
        <f t="shared" si="4"/>
        <v>21.370100999999998</v>
      </c>
      <c r="AF33" s="169">
        <f t="shared" si="4"/>
        <v>118.10070999999998</v>
      </c>
      <c r="AG33" s="169">
        <f t="shared" si="4"/>
        <v>97.365611111111122</v>
      </c>
      <c r="AH33" s="169">
        <f t="shared" si="4"/>
        <v>2.2515E-2</v>
      </c>
      <c r="AI33" s="169">
        <f t="shared" si="4"/>
        <v>2.5999999999999999E-3</v>
      </c>
      <c r="AJ33" s="169">
        <f t="shared" si="4"/>
        <v>7.5722222222222232E-2</v>
      </c>
      <c r="AK33" s="169">
        <f t="shared" si="4"/>
        <v>56.923366999999992</v>
      </c>
      <c r="AL33" s="169">
        <f t="shared" si="4"/>
        <v>336.59664700000002</v>
      </c>
      <c r="AM33" s="169">
        <f t="shared" si="4"/>
        <v>27.048613882716051</v>
      </c>
      <c r="AN33" s="169">
        <f t="shared" si="4"/>
        <v>275.54190699999998</v>
      </c>
      <c r="AO33" s="169">
        <f t="shared" si="4"/>
        <v>2298.0598009999999</v>
      </c>
      <c r="AP33" s="169">
        <f t="shared" si="4"/>
        <v>637.82596463496679</v>
      </c>
    </row>
    <row r="34" spans="1:42" s="209" customFormat="1" ht="22.15" customHeight="1">
      <c r="A34" s="161"/>
      <c r="C34" s="210"/>
      <c r="J34" s="211"/>
      <c r="K34" s="211"/>
      <c r="AM34" s="209" t="s">
        <v>235</v>
      </c>
      <c r="AN34" s="212"/>
    </row>
    <row r="35" spans="1:42" ht="22.15" customHeight="1">
      <c r="AN35" s="147"/>
    </row>
    <row r="36" spans="1:42" ht="30.75" customHeight="1">
      <c r="G36" s="214"/>
      <c r="M36" s="211"/>
      <c r="AN36" s="215"/>
      <c r="AO36" s="139"/>
      <c r="AP36" s="215"/>
    </row>
    <row r="37" spans="1:42" ht="30.75" customHeight="1">
      <c r="AL37" s="161" t="s">
        <v>228</v>
      </c>
    </row>
    <row r="40" spans="1:42" ht="30.75" customHeight="1">
      <c r="AC40" s="216"/>
    </row>
    <row r="43" spans="1:42" ht="30.75" customHeight="1">
      <c r="AO43" s="161" t="s">
        <v>234</v>
      </c>
    </row>
  </sheetData>
  <mergeCells count="27">
    <mergeCell ref="V1:X1"/>
    <mergeCell ref="W2:X2"/>
    <mergeCell ref="N2:O2"/>
    <mergeCell ref="Q2:R2"/>
    <mergeCell ref="T2:U2"/>
    <mergeCell ref="P1:R1"/>
    <mergeCell ref="S1:U1"/>
    <mergeCell ref="M1:O1"/>
    <mergeCell ref="E2:F2"/>
    <mergeCell ref="H2:I2"/>
    <mergeCell ref="K2:L2"/>
    <mergeCell ref="A1:A3"/>
    <mergeCell ref="D1:F1"/>
    <mergeCell ref="G1:I1"/>
    <mergeCell ref="J1:L1"/>
    <mergeCell ref="Y1:AA1"/>
    <mergeCell ref="AB1:AD1"/>
    <mergeCell ref="AN1:AP1"/>
    <mergeCell ref="AE1:AG1"/>
    <mergeCell ref="AH1:AJ1"/>
    <mergeCell ref="AK1:AM1"/>
    <mergeCell ref="AI2:AJ2"/>
    <mergeCell ref="AL2:AM2"/>
    <mergeCell ref="AO2:AP2"/>
    <mergeCell ref="Z2:AA2"/>
    <mergeCell ref="AC2:AD2"/>
    <mergeCell ref="AF2:AG2"/>
  </mergeCells>
  <pageMargins left="0.25" right="0.25" top="1.25" bottom="0.75" header="0.3" footer="0.3"/>
  <pageSetup scale="60" orientation="landscape" r:id="rId1"/>
  <headerFooter>
    <oddHeader>&amp;C&amp;"-,Bold"&amp;22Second Advance Estimates of 2021-22
Area and Production of Flower Crops &amp;R&amp;"Times New Roman,Bold"&amp;12Area in '000 Ha
 Prod in '000 Tonnes</oddHeader>
    <oddFooter>Page &amp;P of &amp;N</oddFooter>
  </headerFooter>
  <colBreaks count="2" manualBreakCount="2">
    <brk id="15" max="32" man="1"/>
    <brk id="27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S37"/>
  <sheetViews>
    <sheetView zoomScaleNormal="100" zoomScaleSheetLayoutView="100" workbookViewId="0">
      <selection activeCell="E29" sqref="E29"/>
    </sheetView>
  </sheetViews>
  <sheetFormatPr defaultColWidth="9" defaultRowHeight="16.5"/>
  <cols>
    <col min="1" max="1" width="7.75" style="227" customWidth="1"/>
    <col min="2" max="2" width="30.5" style="227" customWidth="1"/>
    <col min="3" max="3" width="10.25" style="227" customWidth="1"/>
    <col min="4" max="40" width="9.75" style="227" customWidth="1"/>
    <col min="41" max="41" width="9.75" style="236" customWidth="1"/>
    <col min="42" max="42" width="10.75" style="227" customWidth="1"/>
    <col min="43" max="16384" width="9" style="227"/>
  </cols>
  <sheetData>
    <row r="1" spans="1:45" s="218" customFormat="1" ht="38.25" customHeight="1">
      <c r="A1" s="217" t="s">
        <v>219</v>
      </c>
      <c r="B1" s="217" t="s">
        <v>84</v>
      </c>
      <c r="C1" s="379" t="s">
        <v>252</v>
      </c>
      <c r="D1" s="379"/>
      <c r="E1" s="379" t="s">
        <v>218</v>
      </c>
      <c r="F1" s="379"/>
      <c r="G1" s="380" t="s">
        <v>270</v>
      </c>
      <c r="H1" s="380"/>
      <c r="I1" s="379" t="s">
        <v>197</v>
      </c>
      <c r="J1" s="379"/>
      <c r="K1" s="379" t="s">
        <v>198</v>
      </c>
      <c r="L1" s="379"/>
      <c r="M1" s="379" t="s">
        <v>217</v>
      </c>
      <c r="N1" s="379"/>
      <c r="O1" s="379" t="s">
        <v>188</v>
      </c>
      <c r="P1" s="379"/>
      <c r="Q1" s="379" t="s">
        <v>189</v>
      </c>
      <c r="R1" s="379"/>
      <c r="S1" s="379" t="s">
        <v>190</v>
      </c>
      <c r="T1" s="379"/>
      <c r="U1" s="379" t="s">
        <v>191</v>
      </c>
      <c r="V1" s="379"/>
      <c r="W1" s="379" t="s">
        <v>192</v>
      </c>
      <c r="X1" s="379"/>
      <c r="Y1" s="380" t="s">
        <v>239</v>
      </c>
      <c r="Z1" s="380"/>
      <c r="AA1" s="380" t="s">
        <v>193</v>
      </c>
      <c r="AB1" s="380"/>
      <c r="AC1" s="379" t="s">
        <v>194</v>
      </c>
      <c r="AD1" s="379"/>
      <c r="AE1" s="379" t="s">
        <v>195</v>
      </c>
      <c r="AF1" s="379"/>
      <c r="AG1" s="379" t="s">
        <v>196</v>
      </c>
      <c r="AH1" s="379"/>
      <c r="AI1" s="382" t="s">
        <v>245</v>
      </c>
      <c r="AJ1" s="383"/>
      <c r="AK1" s="382" t="s">
        <v>243</v>
      </c>
      <c r="AL1" s="383"/>
      <c r="AM1" s="382" t="s">
        <v>238</v>
      </c>
      <c r="AN1" s="383"/>
      <c r="AO1" s="381" t="s">
        <v>89</v>
      </c>
      <c r="AP1" s="381"/>
      <c r="AS1" s="219"/>
    </row>
    <row r="2" spans="1:45" s="218" customFormat="1" ht="21" customHeight="1">
      <c r="A2" s="217"/>
      <c r="B2" s="217"/>
      <c r="C2" s="217" t="s">
        <v>90</v>
      </c>
      <c r="D2" s="217" t="s">
        <v>91</v>
      </c>
      <c r="E2" s="217" t="s">
        <v>90</v>
      </c>
      <c r="F2" s="217" t="s">
        <v>91</v>
      </c>
      <c r="G2" s="217" t="s">
        <v>90</v>
      </c>
      <c r="H2" s="217" t="s">
        <v>91</v>
      </c>
      <c r="I2" s="217" t="s">
        <v>90</v>
      </c>
      <c r="J2" s="217" t="s">
        <v>91</v>
      </c>
      <c r="K2" s="217" t="s">
        <v>90</v>
      </c>
      <c r="L2" s="217" t="s">
        <v>91</v>
      </c>
      <c r="M2" s="217" t="s">
        <v>90</v>
      </c>
      <c r="N2" s="217" t="s">
        <v>91</v>
      </c>
      <c r="O2" s="217" t="s">
        <v>90</v>
      </c>
      <c r="P2" s="217" t="s">
        <v>91</v>
      </c>
      <c r="Q2" s="217" t="s">
        <v>90</v>
      </c>
      <c r="R2" s="217" t="s">
        <v>91</v>
      </c>
      <c r="S2" s="217" t="s">
        <v>90</v>
      </c>
      <c r="T2" s="217" t="s">
        <v>91</v>
      </c>
      <c r="U2" s="217" t="s">
        <v>90</v>
      </c>
      <c r="V2" s="217" t="s">
        <v>91</v>
      </c>
      <c r="W2" s="217" t="s">
        <v>90</v>
      </c>
      <c r="X2" s="217" t="s">
        <v>91</v>
      </c>
      <c r="Y2" s="217" t="s">
        <v>90</v>
      </c>
      <c r="Z2" s="217" t="s">
        <v>91</v>
      </c>
      <c r="AA2" s="217" t="s">
        <v>90</v>
      </c>
      <c r="AB2" s="217" t="s">
        <v>91</v>
      </c>
      <c r="AC2" s="217" t="s">
        <v>90</v>
      </c>
      <c r="AD2" s="217" t="s">
        <v>91</v>
      </c>
      <c r="AE2" s="217" t="s">
        <v>90</v>
      </c>
      <c r="AF2" s="217" t="s">
        <v>91</v>
      </c>
      <c r="AG2" s="217" t="s">
        <v>90</v>
      </c>
      <c r="AH2" s="217" t="s">
        <v>91</v>
      </c>
      <c r="AI2" s="220" t="s">
        <v>90</v>
      </c>
      <c r="AJ2" s="220" t="s">
        <v>91</v>
      </c>
      <c r="AK2" s="220" t="s">
        <v>90</v>
      </c>
      <c r="AL2" s="220" t="s">
        <v>91</v>
      </c>
      <c r="AM2" s="220" t="s">
        <v>90</v>
      </c>
      <c r="AN2" s="220" t="s">
        <v>91</v>
      </c>
      <c r="AO2" s="220" t="s">
        <v>90</v>
      </c>
      <c r="AP2" s="220" t="s">
        <v>91</v>
      </c>
    </row>
    <row r="3" spans="1:45" ht="22.9" customHeight="1">
      <c r="A3" s="221">
        <v>1</v>
      </c>
      <c r="B3" s="96" t="s">
        <v>92</v>
      </c>
      <c r="C3" s="222">
        <v>0.441</v>
      </c>
      <c r="D3" s="222">
        <v>0.26033333333333336</v>
      </c>
      <c r="E3" s="223">
        <v>0.38780000000000003</v>
      </c>
      <c r="F3" s="223">
        <v>3.8204699999999994</v>
      </c>
      <c r="G3" s="223">
        <v>160</v>
      </c>
      <c r="H3" s="223">
        <v>700</v>
      </c>
      <c r="I3" s="223">
        <v>25.591799999999999</v>
      </c>
      <c r="J3" s="223">
        <v>74.686640000000011</v>
      </c>
      <c r="K3" s="223"/>
      <c r="L3" s="223"/>
      <c r="M3" s="222"/>
      <c r="N3" s="222"/>
      <c r="O3" s="224">
        <v>2.0644</v>
      </c>
      <c r="P3" s="224">
        <v>1.1252</v>
      </c>
      <c r="Q3" s="222"/>
      <c r="R3" s="222"/>
      <c r="S3" s="222"/>
      <c r="T3" s="222"/>
      <c r="U3" s="222"/>
      <c r="V3" s="222"/>
      <c r="W3" s="224">
        <v>9.0042000000000009</v>
      </c>
      <c r="X3" s="224">
        <v>2.1304000000000003</v>
      </c>
      <c r="Y3" s="222"/>
      <c r="Z3" s="222"/>
      <c r="AA3" s="222"/>
      <c r="AB3" s="222"/>
      <c r="AC3" s="222"/>
      <c r="AD3" s="222"/>
      <c r="AE3" s="222"/>
      <c r="AF3" s="222"/>
      <c r="AG3" s="222">
        <v>4.3007999999999997</v>
      </c>
      <c r="AH3" s="222">
        <v>14.3156</v>
      </c>
      <c r="AI3" s="222"/>
      <c r="AJ3" s="222"/>
      <c r="AK3" s="222"/>
      <c r="AL3" s="222"/>
      <c r="AM3" s="222"/>
      <c r="AN3" s="222"/>
      <c r="AO3" s="225">
        <f>C3+E3+G3+I3+K3+M3+O3+Q3+S3+U3+W3+Y3+AA3+AC3+AE3+AG3+AI3+AK3+AM3</f>
        <v>201.79000000000002</v>
      </c>
      <c r="AP3" s="225">
        <f>D3+F3+H3+J3+L3+N3+P3+R3+T3+V3+X3+Z3+AB3+AD3+AF3+AH3+AJ3+AL3+AN3</f>
        <v>796.33864333333327</v>
      </c>
      <c r="AQ3" s="226"/>
      <c r="AR3" s="226"/>
    </row>
    <row r="4" spans="1:45" ht="22.9" customHeight="1">
      <c r="A4" s="221">
        <v>2</v>
      </c>
      <c r="B4" s="99" t="s">
        <v>93</v>
      </c>
      <c r="C4" s="222">
        <v>3.4036666666666666E-2</v>
      </c>
      <c r="D4" s="222">
        <v>5.0496666666666669E-2</v>
      </c>
      <c r="E4" s="223">
        <v>4.7431720000000004</v>
      </c>
      <c r="F4" s="223">
        <v>30.897196000000001</v>
      </c>
      <c r="G4" s="223">
        <v>1.0623</v>
      </c>
      <c r="H4" s="223">
        <v>2.3772924999999998</v>
      </c>
      <c r="I4" s="223">
        <v>0.57517200000000002</v>
      </c>
      <c r="J4" s="223">
        <v>3.0107339999999994</v>
      </c>
      <c r="K4" s="223"/>
      <c r="L4" s="223"/>
      <c r="M4" s="222">
        <v>5.9753360000000004</v>
      </c>
      <c r="N4" s="222">
        <v>1.3562999999999998</v>
      </c>
      <c r="O4" s="224"/>
      <c r="P4" s="224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5">
        <f t="shared" ref="AO4:AO31" si="0">C4+E4+G4+I4+K4+M4+O4+Q4+S4+U4+W4+Y4+AA4+AC4+AE4+AG4+AI4+AK4+AM4</f>
        <v>12.390016666666668</v>
      </c>
      <c r="AP4" s="225">
        <f t="shared" ref="AP4:AP31" si="1">D4+F4+H4+J4+L4+N4+P4+R4+T4+V4+X4+Z4+AB4+AD4+AF4+AH4+AJ4+AL4+AN4</f>
        <v>37.692019166666668</v>
      </c>
      <c r="AQ4" s="226"/>
      <c r="AR4" s="226"/>
    </row>
    <row r="5" spans="1:45" ht="22.9" customHeight="1">
      <c r="A5" s="221">
        <v>3</v>
      </c>
      <c r="B5" s="96" t="s">
        <v>94</v>
      </c>
      <c r="C5" s="222">
        <v>3.8473333333333333</v>
      </c>
      <c r="D5" s="222">
        <v>2.8069799999999998</v>
      </c>
      <c r="E5" s="223">
        <v>18.480799999999999</v>
      </c>
      <c r="F5" s="223">
        <v>170.72920000000002</v>
      </c>
      <c r="G5" s="223">
        <v>20.6906</v>
      </c>
      <c r="H5" s="223">
        <v>19.648200000000003</v>
      </c>
      <c r="I5" s="223">
        <v>16.991400000000002</v>
      </c>
      <c r="J5" s="223">
        <v>20.884599999999999</v>
      </c>
      <c r="K5" s="223">
        <v>10.527200000000001</v>
      </c>
      <c r="L5" s="223">
        <v>64.450999999999993</v>
      </c>
      <c r="M5" s="222"/>
      <c r="N5" s="222"/>
      <c r="O5" s="224">
        <v>29.947800000000001</v>
      </c>
      <c r="P5" s="224">
        <v>31.991800000000001</v>
      </c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5">
        <f t="shared" si="0"/>
        <v>100.48513333333332</v>
      </c>
      <c r="AP5" s="225">
        <f t="shared" si="1"/>
        <v>310.51178000000004</v>
      </c>
      <c r="AQ5" s="226"/>
      <c r="AR5" s="226"/>
    </row>
    <row r="6" spans="1:45" ht="22.9" customHeight="1">
      <c r="A6" s="221">
        <v>4</v>
      </c>
      <c r="B6" s="96" t="s">
        <v>95</v>
      </c>
      <c r="C6" s="222"/>
      <c r="D6" s="222"/>
      <c r="E6" s="223">
        <v>0.36220000000000002</v>
      </c>
      <c r="F6" s="223">
        <v>3.1303899999999998</v>
      </c>
      <c r="G6" s="223">
        <v>1.8706</v>
      </c>
      <c r="H6" s="223">
        <v>3.7752000000000003</v>
      </c>
      <c r="I6" s="223">
        <v>2.8780000000000001</v>
      </c>
      <c r="J6" s="223">
        <v>2.9511999999999996</v>
      </c>
      <c r="K6" s="223">
        <v>1.7130000000000003</v>
      </c>
      <c r="L6" s="223">
        <v>2.6280000000000001</v>
      </c>
      <c r="M6" s="222"/>
      <c r="N6" s="222"/>
      <c r="O6" s="224">
        <v>2.3907999999999996</v>
      </c>
      <c r="P6" s="224">
        <v>2.1564000000000001</v>
      </c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5">
        <f t="shared" si="0"/>
        <v>9.2146000000000008</v>
      </c>
      <c r="AP6" s="225">
        <f t="shared" si="1"/>
        <v>14.64119</v>
      </c>
      <c r="AQ6" s="226"/>
      <c r="AR6" s="226"/>
    </row>
    <row r="7" spans="1:45" ht="22.9" customHeight="1">
      <c r="A7" s="221">
        <v>5</v>
      </c>
      <c r="B7" s="96" t="s">
        <v>96</v>
      </c>
      <c r="C7" s="222"/>
      <c r="D7" s="222"/>
      <c r="E7" s="223">
        <v>1.204</v>
      </c>
      <c r="F7" s="223">
        <v>8.0259</v>
      </c>
      <c r="G7" s="223">
        <v>4.0739999999999998</v>
      </c>
      <c r="H7" s="223">
        <v>2.5059999999999998</v>
      </c>
      <c r="I7" s="223">
        <v>1.22</v>
      </c>
      <c r="J7" s="223">
        <v>1.645</v>
      </c>
      <c r="K7" s="223">
        <v>0.93300000000000005</v>
      </c>
      <c r="L7" s="223">
        <v>2.754</v>
      </c>
      <c r="M7" s="222"/>
      <c r="N7" s="222"/>
      <c r="O7" s="224">
        <v>2.9510000000000001</v>
      </c>
      <c r="P7" s="224">
        <v>0.84899999999999998</v>
      </c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5">
        <f t="shared" si="0"/>
        <v>10.382</v>
      </c>
      <c r="AP7" s="225">
        <f t="shared" si="1"/>
        <v>15.7799</v>
      </c>
      <c r="AQ7" s="226"/>
      <c r="AR7" s="226"/>
    </row>
    <row r="8" spans="1:45" ht="22.9" customHeight="1">
      <c r="A8" s="221">
        <v>6</v>
      </c>
      <c r="B8" s="96" t="s">
        <v>97</v>
      </c>
      <c r="C8" s="222"/>
      <c r="D8" s="222"/>
      <c r="E8" s="223">
        <v>4.9329999999999998</v>
      </c>
      <c r="F8" s="223">
        <v>109.12379799999999</v>
      </c>
      <c r="G8" s="223">
        <v>11.9902</v>
      </c>
      <c r="H8" s="223">
        <v>22.359404000000001</v>
      </c>
      <c r="I8" s="223">
        <v>4.2805999999999997</v>
      </c>
      <c r="J8" s="223">
        <v>16.8339012</v>
      </c>
      <c r="K8" s="223">
        <v>13.4406</v>
      </c>
      <c r="L8" s="223">
        <v>105.651656</v>
      </c>
      <c r="M8" s="222"/>
      <c r="N8" s="222"/>
      <c r="O8" s="224">
        <v>125</v>
      </c>
      <c r="P8" s="224">
        <v>175</v>
      </c>
      <c r="Q8" s="224">
        <v>425</v>
      </c>
      <c r="R8" s="224">
        <v>420</v>
      </c>
      <c r="S8" s="224">
        <v>47.339399999999998</v>
      </c>
      <c r="T8" s="224">
        <v>98.40173200000001</v>
      </c>
      <c r="U8" s="224">
        <v>8.702399999999999</v>
      </c>
      <c r="V8" s="224">
        <v>16.696559999999998</v>
      </c>
      <c r="W8" s="224">
        <v>9.333000000000002</v>
      </c>
      <c r="X8" s="224">
        <v>9.3490140000000004</v>
      </c>
      <c r="Y8" s="224">
        <v>15.078599999999998</v>
      </c>
      <c r="Z8" s="224">
        <v>18.719711999999998</v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5">
        <f t="shared" si="0"/>
        <v>665.09780000000001</v>
      </c>
      <c r="AP8" s="225">
        <f t="shared" si="1"/>
        <v>992.13577720000001</v>
      </c>
      <c r="AQ8" s="226"/>
      <c r="AR8" s="226"/>
    </row>
    <row r="9" spans="1:45" ht="22.9" customHeight="1">
      <c r="A9" s="221">
        <v>7</v>
      </c>
      <c r="B9" s="96" t="s">
        <v>98</v>
      </c>
      <c r="C9" s="222"/>
      <c r="D9" s="222"/>
      <c r="E9" s="223">
        <v>0.35</v>
      </c>
      <c r="F9" s="223">
        <v>6</v>
      </c>
      <c r="G9" s="223">
        <v>1.7658</v>
      </c>
      <c r="H9" s="223">
        <v>3.2214</v>
      </c>
      <c r="I9" s="223">
        <v>2.52</v>
      </c>
      <c r="J9" s="223">
        <v>7.56</v>
      </c>
      <c r="K9" s="223">
        <v>4.26</v>
      </c>
      <c r="L9" s="223">
        <v>42.6</v>
      </c>
      <c r="M9" s="222"/>
      <c r="N9" s="222"/>
      <c r="O9" s="224">
        <v>1.19</v>
      </c>
      <c r="P9" s="224">
        <v>2.38</v>
      </c>
      <c r="Q9" s="224"/>
      <c r="R9" s="224"/>
      <c r="S9" s="224">
        <v>0.08</v>
      </c>
      <c r="T9" s="224">
        <v>0.12</v>
      </c>
      <c r="U9" s="224">
        <v>1.28</v>
      </c>
      <c r="V9" s="224">
        <v>3.1859999999999999</v>
      </c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5">
        <f t="shared" si="0"/>
        <v>11.445799999999998</v>
      </c>
      <c r="AP9" s="225">
        <f t="shared" si="1"/>
        <v>65.067399999999992</v>
      </c>
      <c r="AQ9" s="226"/>
      <c r="AR9" s="226"/>
    </row>
    <row r="10" spans="1:45" ht="22.9" customHeight="1">
      <c r="A10" s="221">
        <v>8</v>
      </c>
      <c r="B10" s="96" t="s">
        <v>99</v>
      </c>
      <c r="C10" s="222"/>
      <c r="D10" s="222"/>
      <c r="E10" s="223">
        <v>2.5720000000000001</v>
      </c>
      <c r="F10" s="223">
        <v>15.287000000000001</v>
      </c>
      <c r="G10" s="223">
        <v>0.64500000000000002</v>
      </c>
      <c r="H10" s="223">
        <v>0.39800000000000002</v>
      </c>
      <c r="I10" s="223">
        <v>0.498</v>
      </c>
      <c r="J10" s="223">
        <v>0.81</v>
      </c>
      <c r="K10" s="223">
        <v>6.51</v>
      </c>
      <c r="L10" s="223">
        <v>12.707000000000001</v>
      </c>
      <c r="M10" s="222"/>
      <c r="N10" s="222"/>
      <c r="O10" s="224">
        <v>0.16500000000000001</v>
      </c>
      <c r="P10" s="224">
        <v>0.19500000000000001</v>
      </c>
      <c r="Q10" s="224">
        <v>9.9000000000000005E-2</v>
      </c>
      <c r="R10" s="224">
        <v>5.2999999999999999E-2</v>
      </c>
      <c r="S10" s="222"/>
      <c r="T10" s="222"/>
      <c r="U10" s="224"/>
      <c r="V10" s="224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5">
        <f t="shared" si="0"/>
        <v>10.488999999999999</v>
      </c>
      <c r="AP10" s="225">
        <f t="shared" si="1"/>
        <v>29.450000000000003</v>
      </c>
      <c r="AQ10" s="226"/>
      <c r="AR10" s="226"/>
    </row>
    <row r="11" spans="1:45" ht="22.9" customHeight="1">
      <c r="A11" s="221">
        <v>9</v>
      </c>
      <c r="B11" s="96" t="s">
        <v>100</v>
      </c>
      <c r="C11" s="222"/>
      <c r="D11" s="222"/>
      <c r="E11" s="222">
        <v>2.5000000000000001E-2</v>
      </c>
      <c r="F11" s="228">
        <v>4.9000000000000002E-2</v>
      </c>
      <c r="G11" s="228">
        <v>0.625</v>
      </c>
      <c r="H11" s="228">
        <v>0.51400000000000001</v>
      </c>
      <c r="I11" s="222">
        <v>6.0000000000000001E-3</v>
      </c>
      <c r="J11" s="222">
        <v>6.0000000000000001E-3</v>
      </c>
      <c r="K11" s="228">
        <v>0.67300000000000004</v>
      </c>
      <c r="L11" s="228">
        <v>0.54300000000000004</v>
      </c>
      <c r="M11" s="222"/>
      <c r="N11" s="222"/>
      <c r="O11" s="224"/>
      <c r="P11" s="224"/>
      <c r="Q11" s="224"/>
      <c r="R11" s="224"/>
      <c r="S11" s="222"/>
      <c r="T11" s="222"/>
      <c r="U11" s="224"/>
      <c r="V11" s="224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>
        <v>2.0640000000000001</v>
      </c>
      <c r="AJ11" s="222">
        <v>3.0000000000000001E-3</v>
      </c>
      <c r="AK11" s="222"/>
      <c r="AL11" s="222"/>
      <c r="AM11" s="222"/>
      <c r="AN11" s="222"/>
      <c r="AO11" s="225">
        <f t="shared" si="0"/>
        <v>3.3930000000000002</v>
      </c>
      <c r="AP11" s="225">
        <f t="shared" si="1"/>
        <v>1.115</v>
      </c>
      <c r="AQ11" s="226"/>
      <c r="AR11" s="226"/>
    </row>
    <row r="12" spans="1:45" ht="22.9" customHeight="1">
      <c r="A12" s="221">
        <v>10</v>
      </c>
      <c r="B12" s="96" t="s">
        <v>101</v>
      </c>
      <c r="C12" s="222"/>
      <c r="D12" s="222"/>
      <c r="E12" s="222"/>
      <c r="F12" s="228"/>
      <c r="G12" s="228"/>
      <c r="H12" s="228"/>
      <c r="I12" s="222"/>
      <c r="J12" s="222"/>
      <c r="K12" s="228"/>
      <c r="L12" s="228"/>
      <c r="M12" s="222"/>
      <c r="N12" s="222"/>
      <c r="O12" s="224"/>
      <c r="P12" s="224"/>
      <c r="Q12" s="224"/>
      <c r="R12" s="224"/>
      <c r="S12" s="222"/>
      <c r="T12" s="222"/>
      <c r="U12" s="224"/>
      <c r="V12" s="224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5">
        <f t="shared" si="0"/>
        <v>0</v>
      </c>
      <c r="AP12" s="225">
        <f t="shared" si="1"/>
        <v>0</v>
      </c>
      <c r="AQ12" s="226"/>
      <c r="AR12" s="226"/>
    </row>
    <row r="13" spans="1:45" ht="22.9" customHeight="1">
      <c r="A13" s="221">
        <v>11</v>
      </c>
      <c r="B13" s="96" t="s">
        <v>102</v>
      </c>
      <c r="C13" s="222">
        <v>190</v>
      </c>
      <c r="D13" s="222">
        <v>55.637999999999998</v>
      </c>
      <c r="E13" s="223">
        <v>30</v>
      </c>
      <c r="F13" s="223">
        <v>306.34379000000001</v>
      </c>
      <c r="G13" s="223">
        <v>100</v>
      </c>
      <c r="H13" s="223">
        <v>184.5326</v>
      </c>
      <c r="I13" s="223">
        <v>21.308</v>
      </c>
      <c r="J13" s="223">
        <v>130.96960000000001</v>
      </c>
      <c r="K13" s="223">
        <v>4.3685999999999989</v>
      </c>
      <c r="L13" s="223">
        <v>13.366800000000001</v>
      </c>
      <c r="M13" s="222">
        <v>7.6891999999999996</v>
      </c>
      <c r="N13" s="222">
        <v>0.92419999999999991</v>
      </c>
      <c r="O13" s="224">
        <v>1.5980000000000001</v>
      </c>
      <c r="P13" s="224">
        <v>0.98680000000000001</v>
      </c>
      <c r="Q13" s="224">
        <v>8.9999999999999993E-3</v>
      </c>
      <c r="R13" s="224">
        <v>2.9000000000000001E-2</v>
      </c>
      <c r="S13" s="222">
        <v>1.7000000000000001E-2</v>
      </c>
      <c r="T13" s="222">
        <v>7.6999999999999999E-2</v>
      </c>
      <c r="U13" s="224">
        <v>0.32700000000000001</v>
      </c>
      <c r="V13" s="224">
        <v>1.0509999999999999</v>
      </c>
      <c r="W13" s="222"/>
      <c r="X13" s="222"/>
      <c r="Y13" s="224">
        <v>0.124</v>
      </c>
      <c r="Z13" s="224">
        <v>0.77100000000000002</v>
      </c>
      <c r="AA13" s="224">
        <v>4.7E-2</v>
      </c>
      <c r="AB13" s="224">
        <v>6.0000000000000001E-3</v>
      </c>
      <c r="AC13" s="224">
        <v>0.71299999999999997</v>
      </c>
      <c r="AD13" s="224">
        <v>0.625</v>
      </c>
      <c r="AE13" s="224">
        <v>0.16400000000000001</v>
      </c>
      <c r="AF13" s="224">
        <v>0.19400000000000001</v>
      </c>
      <c r="AG13" s="224">
        <v>11.881</v>
      </c>
      <c r="AH13" s="224">
        <v>36.856000000000002</v>
      </c>
      <c r="AI13" s="224"/>
      <c r="AJ13" s="224"/>
      <c r="AK13" s="224">
        <v>0.109</v>
      </c>
      <c r="AL13" s="224">
        <v>0.04</v>
      </c>
      <c r="AM13" s="222"/>
      <c r="AN13" s="222"/>
      <c r="AO13" s="225">
        <f t="shared" si="0"/>
        <v>368.35480000000013</v>
      </c>
      <c r="AP13" s="225">
        <f t="shared" si="1"/>
        <v>732.41079000000002</v>
      </c>
      <c r="AQ13" s="226"/>
      <c r="AR13" s="226"/>
    </row>
    <row r="14" spans="1:45" ht="22.9" customHeight="1">
      <c r="A14" s="221">
        <v>12</v>
      </c>
      <c r="B14" s="96" t="s">
        <v>103</v>
      </c>
      <c r="C14" s="222">
        <v>82.087000000000003</v>
      </c>
      <c r="D14" s="222">
        <v>34.420999999999999</v>
      </c>
      <c r="E14" s="223">
        <v>2.6749999999999998</v>
      </c>
      <c r="F14" s="223">
        <v>54.26</v>
      </c>
      <c r="G14" s="223"/>
      <c r="H14" s="223"/>
      <c r="I14" s="223">
        <v>2.2829999999999999</v>
      </c>
      <c r="J14" s="223">
        <v>7.7450000000000001</v>
      </c>
      <c r="K14" s="223">
        <v>0.19400000000000001</v>
      </c>
      <c r="L14" s="223">
        <v>1.0189999999999999</v>
      </c>
      <c r="M14" s="222">
        <v>39.176400000000001</v>
      </c>
      <c r="N14" s="222">
        <v>15.535599999999999</v>
      </c>
      <c r="O14" s="224"/>
      <c r="P14" s="224"/>
      <c r="Q14" s="224"/>
      <c r="R14" s="224"/>
      <c r="S14" s="222"/>
      <c r="T14" s="222"/>
      <c r="U14" s="224"/>
      <c r="V14" s="224"/>
      <c r="W14" s="222"/>
      <c r="X14" s="222"/>
      <c r="Y14" s="222"/>
      <c r="Z14" s="222"/>
      <c r="AA14" s="224">
        <v>9.9752000000000007E-2</v>
      </c>
      <c r="AB14" s="224">
        <v>8.6241919999999993E-3</v>
      </c>
      <c r="AC14" s="222">
        <v>22.875200000000003</v>
      </c>
      <c r="AD14" s="222">
        <v>14.589440999999999</v>
      </c>
      <c r="AE14" s="224">
        <v>0.921184</v>
      </c>
      <c r="AF14" s="224">
        <v>6.8279199999999998E-2</v>
      </c>
      <c r="AG14" s="224">
        <v>10.097799999999999</v>
      </c>
      <c r="AH14" s="224">
        <v>32.307000000000002</v>
      </c>
      <c r="AI14" s="224"/>
      <c r="AJ14" s="224"/>
      <c r="AK14" s="224">
        <v>6.5572000000000005E-2</v>
      </c>
      <c r="AL14" s="224">
        <v>3.5543999999999999E-2</v>
      </c>
      <c r="AM14" s="222"/>
      <c r="AN14" s="222"/>
      <c r="AO14" s="225">
        <f t="shared" si="0"/>
        <v>160.47490800000003</v>
      </c>
      <c r="AP14" s="225">
        <f t="shared" si="1"/>
        <v>159.989488392</v>
      </c>
      <c r="AQ14" s="226"/>
      <c r="AR14" s="226"/>
    </row>
    <row r="15" spans="1:45" ht="22.9" customHeight="1">
      <c r="A15" s="221">
        <v>13</v>
      </c>
      <c r="B15" s="96" t="s">
        <v>104</v>
      </c>
      <c r="C15" s="222"/>
      <c r="D15" s="222"/>
      <c r="E15" s="223">
        <v>31.989000000000001</v>
      </c>
      <c r="F15" s="223">
        <v>515.74099999999999</v>
      </c>
      <c r="G15" s="223">
        <v>118.295</v>
      </c>
      <c r="H15" s="223">
        <v>303.06900000000002</v>
      </c>
      <c r="I15" s="223">
        <v>19.507000000000001</v>
      </c>
      <c r="J15" s="223">
        <v>69.885999999999996</v>
      </c>
      <c r="K15" s="223">
        <v>201.876</v>
      </c>
      <c r="L15" s="223">
        <v>2070.951</v>
      </c>
      <c r="M15" s="222"/>
      <c r="N15" s="222"/>
      <c r="O15" s="224">
        <v>290.05099999999999</v>
      </c>
      <c r="P15" s="224">
        <v>390.53100000000001</v>
      </c>
      <c r="Q15" s="224">
        <v>0.28999999999999998</v>
      </c>
      <c r="R15" s="224">
        <v>0.33</v>
      </c>
      <c r="S15" s="224">
        <v>1.5620000000000001</v>
      </c>
      <c r="T15" s="224">
        <v>2.8239999999999998</v>
      </c>
      <c r="U15" s="224">
        <v>52.234000000000002</v>
      </c>
      <c r="V15" s="224">
        <v>101.88200000000001</v>
      </c>
      <c r="W15" s="224">
        <v>7.19</v>
      </c>
      <c r="X15" s="224">
        <v>7.7</v>
      </c>
      <c r="Y15" s="224">
        <v>2.6000000000000002E-2</v>
      </c>
      <c r="Z15" s="224">
        <v>2.6000000000000002E-2</v>
      </c>
      <c r="AA15" s="222"/>
      <c r="AB15" s="222"/>
      <c r="AC15" s="222"/>
      <c r="AD15" s="222"/>
      <c r="AE15" s="222"/>
      <c r="AF15" s="222"/>
      <c r="AG15" s="224">
        <v>1</v>
      </c>
      <c r="AH15" s="224">
        <v>10.167999999999999</v>
      </c>
      <c r="AI15" s="222"/>
      <c r="AJ15" s="222"/>
      <c r="AK15" s="222"/>
      <c r="AL15" s="222"/>
      <c r="AM15" s="222"/>
      <c r="AN15" s="222"/>
      <c r="AO15" s="225">
        <f t="shared" si="0"/>
        <v>724.0200000000001</v>
      </c>
      <c r="AP15" s="225">
        <f t="shared" si="1"/>
        <v>3473.1079999999997</v>
      </c>
      <c r="AQ15" s="226"/>
      <c r="AR15" s="226"/>
    </row>
    <row r="16" spans="1:45" ht="22.9" customHeight="1">
      <c r="A16" s="221">
        <v>14</v>
      </c>
      <c r="B16" s="96" t="s">
        <v>105</v>
      </c>
      <c r="C16" s="222">
        <v>1.958</v>
      </c>
      <c r="D16" s="222">
        <v>0.44</v>
      </c>
      <c r="E16" s="223">
        <v>10.465</v>
      </c>
      <c r="F16" s="223">
        <v>150.625</v>
      </c>
      <c r="G16" s="223">
        <v>5.6479999999999997</v>
      </c>
      <c r="H16" s="223">
        <v>18.545999999999999</v>
      </c>
      <c r="I16" s="223">
        <v>102.625</v>
      </c>
      <c r="J16" s="223">
        <v>367.98500000000001</v>
      </c>
      <c r="K16" s="223">
        <v>3.6960000000000002</v>
      </c>
      <c r="L16" s="223">
        <v>22.184000000000001</v>
      </c>
      <c r="M16" s="222"/>
      <c r="N16" s="222"/>
      <c r="O16" s="224">
        <v>1.9870000000000001</v>
      </c>
      <c r="P16" s="224">
        <v>4.49</v>
      </c>
      <c r="Q16" s="222"/>
      <c r="R16" s="222"/>
      <c r="S16" s="224"/>
      <c r="T16" s="224"/>
      <c r="U16" s="224">
        <v>0.75800000000000001</v>
      </c>
      <c r="V16" s="224">
        <v>5.4080000000000004</v>
      </c>
      <c r="W16" s="222"/>
      <c r="X16" s="222"/>
      <c r="Y16" s="222"/>
      <c r="Z16" s="222"/>
      <c r="AA16" s="224">
        <v>5.0000000000000001E-3</v>
      </c>
      <c r="AB16" s="224">
        <v>5.0000000000000001E-3</v>
      </c>
      <c r="AC16" s="224">
        <v>8.7999999999999995E-2</v>
      </c>
      <c r="AD16" s="224">
        <v>0.104</v>
      </c>
      <c r="AE16" s="222"/>
      <c r="AF16" s="222"/>
      <c r="AG16" s="224">
        <v>1.2450000000000001</v>
      </c>
      <c r="AH16" s="224">
        <v>11.244999999999999</v>
      </c>
      <c r="AI16" s="222"/>
      <c r="AJ16" s="222"/>
      <c r="AK16" s="222"/>
      <c r="AL16" s="222"/>
      <c r="AM16" s="229"/>
      <c r="AN16" s="229"/>
      <c r="AO16" s="225">
        <f t="shared" si="0"/>
        <v>128.47499999999997</v>
      </c>
      <c r="AP16" s="225">
        <f t="shared" si="1"/>
        <v>581.03200000000004</v>
      </c>
      <c r="AQ16" s="226"/>
      <c r="AR16" s="226"/>
    </row>
    <row r="17" spans="1:44" ht="22.9" customHeight="1">
      <c r="A17" s="221">
        <v>15</v>
      </c>
      <c r="B17" s="108" t="s">
        <v>106</v>
      </c>
      <c r="C17" s="222"/>
      <c r="D17" s="222"/>
      <c r="E17" s="223">
        <v>4.1128</v>
      </c>
      <c r="F17" s="223">
        <v>51.90616</v>
      </c>
      <c r="G17" s="223">
        <v>2.6000399999999999</v>
      </c>
      <c r="H17" s="223">
        <v>1.560384</v>
      </c>
      <c r="I17" s="223">
        <v>2.2578</v>
      </c>
      <c r="J17" s="223">
        <v>5.4104800000000006</v>
      </c>
      <c r="K17" s="223"/>
      <c r="L17" s="223"/>
      <c r="M17" s="222">
        <v>6.5999999999999989E-2</v>
      </c>
      <c r="N17" s="222">
        <v>1.65E-3</v>
      </c>
      <c r="O17" s="222">
        <v>1.4199999999999999E-2</v>
      </c>
      <c r="P17" s="222">
        <v>1.6899999999999998E-2</v>
      </c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9"/>
      <c r="AN17" s="229"/>
      <c r="AO17" s="225">
        <f t="shared" si="0"/>
        <v>9.0508400000000009</v>
      </c>
      <c r="AP17" s="225">
        <f t="shared" si="1"/>
        <v>58.895573999999996</v>
      </c>
      <c r="AQ17" s="226"/>
      <c r="AR17" s="226"/>
    </row>
    <row r="18" spans="1:44" ht="22.9" customHeight="1">
      <c r="A18" s="221">
        <v>16</v>
      </c>
      <c r="B18" s="96" t="s">
        <v>107</v>
      </c>
      <c r="C18" s="222">
        <v>1.0349999999999999</v>
      </c>
      <c r="D18" s="222">
        <v>0.78</v>
      </c>
      <c r="E18" s="223">
        <v>9.952</v>
      </c>
      <c r="F18" s="223">
        <v>66.27</v>
      </c>
      <c r="G18" s="228"/>
      <c r="H18" s="228"/>
      <c r="I18" s="228">
        <v>2.7850000000000001</v>
      </c>
      <c r="J18" s="228">
        <v>3.4740000000000002</v>
      </c>
      <c r="K18" s="228"/>
      <c r="L18" s="228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>
        <v>0.46899999999999997</v>
      </c>
      <c r="AB18" s="222">
        <v>1.149</v>
      </c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9"/>
      <c r="AN18" s="229"/>
      <c r="AO18" s="225">
        <f t="shared" si="0"/>
        <v>14.241</v>
      </c>
      <c r="AP18" s="225">
        <f t="shared" si="1"/>
        <v>71.673000000000002</v>
      </c>
      <c r="AQ18" s="226"/>
      <c r="AR18" s="226"/>
    </row>
    <row r="19" spans="1:44" ht="22.9" customHeight="1">
      <c r="A19" s="221">
        <v>17</v>
      </c>
      <c r="B19" s="96" t="s">
        <v>108</v>
      </c>
      <c r="C19" s="222">
        <v>7.0000000000000007E-2</v>
      </c>
      <c r="D19" s="222">
        <v>2.5000000000000001E-3</v>
      </c>
      <c r="E19" s="223">
        <v>8.5530000000000008</v>
      </c>
      <c r="F19" s="223">
        <v>60.827120000000001</v>
      </c>
      <c r="G19" s="228">
        <v>11.19665</v>
      </c>
      <c r="H19" s="228">
        <v>10.91808</v>
      </c>
      <c r="I19" s="228">
        <v>7.670183999999999</v>
      </c>
      <c r="J19" s="228">
        <v>29.572000000000003</v>
      </c>
      <c r="K19" s="228">
        <v>2.2840000000000003E-2</v>
      </c>
      <c r="L19" s="228">
        <v>1.2081999999999999E-2</v>
      </c>
      <c r="M19" s="222"/>
      <c r="N19" s="222"/>
      <c r="O19" s="222">
        <v>0.23047750000000003</v>
      </c>
      <c r="P19" s="222">
        <v>2.1080000000000002E-2</v>
      </c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>
        <v>0.01</v>
      </c>
      <c r="AH19" s="222">
        <v>2.6000000000000002E-2</v>
      </c>
      <c r="AI19" s="222"/>
      <c r="AJ19" s="222"/>
      <c r="AK19" s="222"/>
      <c r="AL19" s="222"/>
      <c r="AM19" s="229"/>
      <c r="AN19" s="229"/>
      <c r="AO19" s="225">
        <f t="shared" si="0"/>
        <v>27.753151500000001</v>
      </c>
      <c r="AP19" s="225">
        <f t="shared" si="1"/>
        <v>101.378862</v>
      </c>
      <c r="AQ19" s="226"/>
      <c r="AR19" s="226"/>
    </row>
    <row r="20" spans="1:44" ht="22.9" customHeight="1">
      <c r="A20" s="221">
        <v>18</v>
      </c>
      <c r="B20" s="99" t="s">
        <v>109</v>
      </c>
      <c r="C20" s="222">
        <v>0.1018</v>
      </c>
      <c r="D20" s="222">
        <v>2.3949999999999999E-2</v>
      </c>
      <c r="E20" s="223">
        <v>4.7240000000000002</v>
      </c>
      <c r="F20" s="223">
        <v>35.320999999999998</v>
      </c>
      <c r="G20" s="223">
        <v>1.377</v>
      </c>
      <c r="H20" s="223">
        <v>1.748</v>
      </c>
      <c r="I20" s="223">
        <v>0.63800000000000001</v>
      </c>
      <c r="J20" s="223">
        <v>1.8126000000000002</v>
      </c>
      <c r="K20" s="223">
        <v>0.247</v>
      </c>
      <c r="L20" s="223">
        <v>2.0609999999999999</v>
      </c>
      <c r="M20" s="222">
        <v>3.5</v>
      </c>
      <c r="N20" s="222">
        <v>2.0750000000000002</v>
      </c>
      <c r="O20" s="224">
        <v>4.9000000000000002E-2</v>
      </c>
      <c r="P20" s="224">
        <v>7.5999999999999998E-2</v>
      </c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>
        <v>6.0000000000000001E-3</v>
      </c>
      <c r="AB20" s="222">
        <v>2E-3</v>
      </c>
      <c r="AC20" s="222"/>
      <c r="AD20" s="222"/>
      <c r="AE20" s="222"/>
      <c r="AF20" s="222"/>
      <c r="AG20" s="222">
        <v>0.01</v>
      </c>
      <c r="AH20" s="222">
        <v>0.14099999999999999</v>
      </c>
      <c r="AI20" s="222"/>
      <c r="AJ20" s="222"/>
      <c r="AK20" s="222"/>
      <c r="AL20" s="222"/>
      <c r="AM20" s="229"/>
      <c r="AN20" s="229"/>
      <c r="AO20" s="225">
        <f t="shared" si="0"/>
        <v>10.652799999999999</v>
      </c>
      <c r="AP20" s="225">
        <f t="shared" si="1"/>
        <v>43.260550000000002</v>
      </c>
      <c r="AQ20" s="226"/>
      <c r="AR20" s="226"/>
    </row>
    <row r="21" spans="1:44" ht="22.9" customHeight="1">
      <c r="A21" s="221">
        <v>19</v>
      </c>
      <c r="B21" s="96" t="s">
        <v>110</v>
      </c>
      <c r="C21" s="222"/>
      <c r="D21" s="222"/>
      <c r="E21" s="223">
        <v>17.655000000000001</v>
      </c>
      <c r="F21" s="223">
        <v>226.84</v>
      </c>
      <c r="G21" s="223">
        <v>71.69919999999999</v>
      </c>
      <c r="H21" s="223">
        <v>69.257239999999996</v>
      </c>
      <c r="I21" s="223">
        <v>31.68</v>
      </c>
      <c r="J21" s="223">
        <v>68.825999999999993</v>
      </c>
      <c r="K21" s="223">
        <v>12.132800000000001</v>
      </c>
      <c r="L21" s="223">
        <v>43.485589999999995</v>
      </c>
      <c r="M21" s="222"/>
      <c r="N21" s="222"/>
      <c r="O21" s="224">
        <v>20.891999999999999</v>
      </c>
      <c r="P21" s="224">
        <v>14.256</v>
      </c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9"/>
      <c r="AN21" s="229"/>
      <c r="AO21" s="225">
        <f t="shared" si="0"/>
        <v>154.059</v>
      </c>
      <c r="AP21" s="225">
        <f t="shared" si="1"/>
        <v>422.66482999999994</v>
      </c>
      <c r="AQ21" s="226"/>
      <c r="AR21" s="226"/>
    </row>
    <row r="22" spans="1:44" ht="22.9" customHeight="1">
      <c r="A22" s="221">
        <v>20</v>
      </c>
      <c r="B22" s="96" t="s">
        <v>111</v>
      </c>
      <c r="C22" s="222"/>
      <c r="D22" s="222"/>
      <c r="E22" s="222"/>
      <c r="F22" s="222"/>
      <c r="G22" s="223">
        <v>8.2650000000000006</v>
      </c>
      <c r="H22" s="223">
        <v>15.881799999999998</v>
      </c>
      <c r="I22" s="223">
        <v>0.93700000000000006</v>
      </c>
      <c r="J22" s="223">
        <v>3.3809999999999993</v>
      </c>
      <c r="K22" s="223">
        <v>7.4036</v>
      </c>
      <c r="L22" s="223">
        <v>85.1952</v>
      </c>
      <c r="M22" s="222"/>
      <c r="N22" s="222"/>
      <c r="O22" s="222"/>
      <c r="P22" s="222"/>
      <c r="Q22" s="222"/>
      <c r="R22" s="222"/>
      <c r="S22" s="222"/>
      <c r="T22" s="222"/>
      <c r="U22" s="224">
        <v>10.0304</v>
      </c>
      <c r="V22" s="224">
        <v>1.911</v>
      </c>
      <c r="W22" s="222"/>
      <c r="X22" s="222"/>
      <c r="Y22" s="224">
        <v>4.3311999999999999</v>
      </c>
      <c r="Z22" s="224">
        <v>6.1033999999999997</v>
      </c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9"/>
      <c r="AN22" s="229"/>
      <c r="AO22" s="225">
        <f t="shared" si="0"/>
        <v>30.967199999999998</v>
      </c>
      <c r="AP22" s="225">
        <f t="shared" si="1"/>
        <v>112.47239999999999</v>
      </c>
      <c r="AQ22" s="226"/>
      <c r="AR22" s="226"/>
    </row>
    <row r="23" spans="1:44" s="231" customFormat="1" ht="22.9" customHeight="1">
      <c r="A23" s="221">
        <v>21</v>
      </c>
      <c r="B23" s="96" t="s">
        <v>112</v>
      </c>
      <c r="C23" s="222"/>
      <c r="D23" s="222"/>
      <c r="E23" s="223">
        <v>0.108</v>
      </c>
      <c r="F23" s="223">
        <v>0.32600000000000001</v>
      </c>
      <c r="G23" s="223">
        <v>7.5979999999999999</v>
      </c>
      <c r="H23" s="223">
        <v>12.914999999999999</v>
      </c>
      <c r="I23" s="223">
        <v>0.26340000000000002</v>
      </c>
      <c r="J23" s="228">
        <v>0.44379999999999997</v>
      </c>
      <c r="K23" s="228">
        <v>90.272999999999996</v>
      </c>
      <c r="L23" s="228">
        <v>539.18119999999999</v>
      </c>
      <c r="M23" s="222"/>
      <c r="N23" s="222"/>
      <c r="O23" s="222">
        <v>124.286</v>
      </c>
      <c r="P23" s="222">
        <v>148.703</v>
      </c>
      <c r="Q23" s="222">
        <v>609.71900000000005</v>
      </c>
      <c r="R23" s="222">
        <v>303.50400000000002</v>
      </c>
      <c r="S23" s="222">
        <v>31.460599999999999</v>
      </c>
      <c r="T23" s="222">
        <v>34.133000000000003</v>
      </c>
      <c r="U23" s="222">
        <v>90.468999999999994</v>
      </c>
      <c r="V23" s="222">
        <v>110.869</v>
      </c>
      <c r="W23" s="222">
        <v>12.640599999999999</v>
      </c>
      <c r="X23" s="222">
        <v>8.0410000000000004</v>
      </c>
      <c r="Y23" s="222">
        <v>4.5220000000000002</v>
      </c>
      <c r="Z23" s="222">
        <v>3.2360000000000002</v>
      </c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9"/>
      <c r="AN23" s="229"/>
      <c r="AO23" s="225">
        <f t="shared" si="0"/>
        <v>971.3395999999999</v>
      </c>
      <c r="AP23" s="225">
        <f t="shared" si="1"/>
        <v>1161.3519999999999</v>
      </c>
      <c r="AQ23" s="230"/>
      <c r="AR23" s="230"/>
    </row>
    <row r="24" spans="1:44" ht="22.9" customHeight="1">
      <c r="A24" s="221">
        <v>22</v>
      </c>
      <c r="B24" s="96" t="s">
        <v>113</v>
      </c>
      <c r="C24" s="232"/>
      <c r="D24" s="232"/>
      <c r="E24" s="223">
        <v>15.276</v>
      </c>
      <c r="F24" s="223">
        <v>81.796000000000006</v>
      </c>
      <c r="G24" s="232"/>
      <c r="H24" s="232"/>
      <c r="I24" s="223">
        <v>5.0140000000000002</v>
      </c>
      <c r="J24" s="223">
        <v>15.523</v>
      </c>
      <c r="K24" s="232"/>
      <c r="L24" s="232"/>
      <c r="M24" s="222">
        <v>22.146000000000001</v>
      </c>
      <c r="N24" s="222">
        <v>5.6189999999999998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9"/>
      <c r="AN24" s="229"/>
      <c r="AO24" s="225">
        <f t="shared" si="0"/>
        <v>42.436</v>
      </c>
      <c r="AP24" s="225">
        <f t="shared" si="1"/>
        <v>102.938</v>
      </c>
      <c r="AQ24" s="226"/>
      <c r="AR24" s="226"/>
    </row>
    <row r="25" spans="1:44" ht="22.9" customHeight="1">
      <c r="A25" s="221">
        <v>23</v>
      </c>
      <c r="B25" s="96" t="s">
        <v>114</v>
      </c>
      <c r="C25" s="222">
        <v>6.9630000000000001</v>
      </c>
      <c r="D25" s="222">
        <v>1.518</v>
      </c>
      <c r="E25" s="223">
        <v>0.314</v>
      </c>
      <c r="F25" s="223">
        <v>6.0030000000000001</v>
      </c>
      <c r="G25" s="228">
        <v>53.518000000000001</v>
      </c>
      <c r="H25" s="228">
        <v>24.117000000000001</v>
      </c>
      <c r="I25" s="228">
        <v>24.221</v>
      </c>
      <c r="J25" s="228">
        <v>104.402</v>
      </c>
      <c r="K25" s="228">
        <v>1.9410000000000001</v>
      </c>
      <c r="L25" s="228">
        <v>11.278</v>
      </c>
      <c r="M25" s="222">
        <v>4.13</v>
      </c>
      <c r="N25" s="222">
        <v>0.376</v>
      </c>
      <c r="O25" s="222">
        <v>6.6890000000000001</v>
      </c>
      <c r="P25" s="222">
        <v>2.3210000000000002</v>
      </c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>
        <v>0.13500000000000001</v>
      </c>
      <c r="AD25" s="222">
        <v>0.02</v>
      </c>
      <c r="AE25" s="222">
        <v>1.089</v>
      </c>
      <c r="AF25" s="222">
        <v>1.0589999999999999</v>
      </c>
      <c r="AG25" s="222">
        <v>14.377000000000001</v>
      </c>
      <c r="AH25" s="222">
        <v>44.075000000000003</v>
      </c>
      <c r="AI25" s="222"/>
      <c r="AJ25" s="222"/>
      <c r="AK25" s="222"/>
      <c r="AL25" s="222"/>
      <c r="AM25" s="222"/>
      <c r="AN25" s="222"/>
      <c r="AO25" s="225">
        <f t="shared" si="0"/>
        <v>113.37700000000001</v>
      </c>
      <c r="AP25" s="225">
        <f t="shared" si="1"/>
        <v>195.16899999999998</v>
      </c>
      <c r="AQ25" s="226"/>
      <c r="AR25" s="226"/>
    </row>
    <row r="26" spans="1:44" ht="22.9" customHeight="1">
      <c r="A26" s="221">
        <v>24</v>
      </c>
      <c r="B26" s="96" t="s">
        <v>115</v>
      </c>
      <c r="C26" s="222"/>
      <c r="D26" s="222"/>
      <c r="E26" s="223">
        <v>2.0966</v>
      </c>
      <c r="F26" s="223">
        <v>15.459</v>
      </c>
      <c r="G26" s="228">
        <v>85</v>
      </c>
      <c r="H26" s="228">
        <v>433.12219999999996</v>
      </c>
      <c r="I26" s="228">
        <v>50.058200000000014</v>
      </c>
      <c r="J26" s="228">
        <v>330.2568</v>
      </c>
      <c r="K26" s="223">
        <v>0.1024</v>
      </c>
      <c r="L26" s="223">
        <v>0.23040000000000002</v>
      </c>
      <c r="M26" s="222"/>
      <c r="N26" s="222"/>
      <c r="O26" s="224">
        <v>1.1244000000000001</v>
      </c>
      <c r="P26" s="224">
        <v>0.93859999999999988</v>
      </c>
      <c r="Q26" s="222"/>
      <c r="R26" s="222"/>
      <c r="S26" s="222"/>
      <c r="T26" s="222"/>
      <c r="U26" s="222"/>
      <c r="V26" s="222"/>
      <c r="W26" s="224">
        <v>1.2265999999999999</v>
      </c>
      <c r="X26" s="224">
        <v>0.95540000000000003</v>
      </c>
      <c r="Y26" s="222"/>
      <c r="Z26" s="222"/>
      <c r="AA26" s="222"/>
      <c r="AB26" s="222"/>
      <c r="AC26" s="222"/>
      <c r="AD26" s="222"/>
      <c r="AE26" s="222"/>
      <c r="AF26" s="222"/>
      <c r="AG26" s="224">
        <v>2.0132500000000002</v>
      </c>
      <c r="AH26" s="224">
        <v>12.66075</v>
      </c>
      <c r="AI26" s="222"/>
      <c r="AJ26" s="222"/>
      <c r="AK26" s="222"/>
      <c r="AL26" s="222"/>
      <c r="AM26" s="233"/>
      <c r="AN26" s="233"/>
      <c r="AO26" s="225">
        <f t="shared" si="0"/>
        <v>141.62145000000001</v>
      </c>
      <c r="AP26" s="225">
        <f t="shared" si="1"/>
        <v>793.62315000000001</v>
      </c>
      <c r="AQ26" s="226"/>
      <c r="AR26" s="226"/>
    </row>
    <row r="27" spans="1:44" ht="22.9" customHeight="1">
      <c r="A27" s="221">
        <v>25</v>
      </c>
      <c r="B27" s="96" t="s">
        <v>116</v>
      </c>
      <c r="C27" s="222">
        <v>0.28233333333333333</v>
      </c>
      <c r="D27" s="222">
        <v>0.25898733333333335</v>
      </c>
      <c r="E27" s="223">
        <v>1.909</v>
      </c>
      <c r="F27" s="223">
        <v>16.163599999999999</v>
      </c>
      <c r="G27" s="228">
        <v>2.8515999999999999</v>
      </c>
      <c r="H27" s="228">
        <v>6.6853999999999996</v>
      </c>
      <c r="I27" s="228">
        <v>1.6956</v>
      </c>
      <c r="J27" s="228">
        <v>5.4520800000000005</v>
      </c>
      <c r="K27" s="223"/>
      <c r="L27" s="223"/>
      <c r="M27" s="222"/>
      <c r="N27" s="222"/>
      <c r="O27" s="224"/>
      <c r="P27" s="224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33"/>
      <c r="AN27" s="233"/>
      <c r="AO27" s="225">
        <f t="shared" si="0"/>
        <v>6.7385333333333337</v>
      </c>
      <c r="AP27" s="225">
        <f t="shared" si="1"/>
        <v>28.560067333333336</v>
      </c>
      <c r="AQ27" s="226"/>
      <c r="AR27" s="226"/>
    </row>
    <row r="28" spans="1:44" ht="22.9" customHeight="1">
      <c r="A28" s="221">
        <v>26</v>
      </c>
      <c r="B28" s="96" t="s">
        <v>117</v>
      </c>
      <c r="C28" s="222"/>
      <c r="D28" s="222"/>
      <c r="E28" s="223">
        <v>0.89759999999999995</v>
      </c>
      <c r="F28" s="223">
        <v>4.2263999999999999</v>
      </c>
      <c r="G28" s="223">
        <v>13.618599999999997</v>
      </c>
      <c r="H28" s="223">
        <v>11.885400000000001</v>
      </c>
      <c r="I28" s="223">
        <v>1.7045999999999999</v>
      </c>
      <c r="J28" s="223">
        <v>3.6374000000000004</v>
      </c>
      <c r="K28" s="223">
        <v>34.843200000000003</v>
      </c>
      <c r="L28" s="223">
        <v>210.90439999999998</v>
      </c>
      <c r="M28" s="222"/>
      <c r="N28" s="222"/>
      <c r="O28" s="224">
        <v>6.8557999999999995</v>
      </c>
      <c r="P28" s="224">
        <v>4.5750000000000002</v>
      </c>
      <c r="Q28" s="224">
        <v>2E-3</v>
      </c>
      <c r="R28" s="224">
        <v>6.7500000000000008E-3</v>
      </c>
      <c r="S28" s="224">
        <v>0.71920000000000006</v>
      </c>
      <c r="T28" s="224">
        <v>0.64366000000000001</v>
      </c>
      <c r="U28" s="224">
        <v>0.33480000000000004</v>
      </c>
      <c r="V28" s="224">
        <v>0.29680000000000001</v>
      </c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4">
        <v>346.29899999999998</v>
      </c>
      <c r="AN28" s="224">
        <v>35.006999999999998</v>
      </c>
      <c r="AO28" s="225">
        <f t="shared" si="0"/>
        <v>405.27479999999997</v>
      </c>
      <c r="AP28" s="225">
        <f t="shared" si="1"/>
        <v>271.18280999999996</v>
      </c>
      <c r="AQ28" s="226"/>
      <c r="AR28" s="226"/>
    </row>
    <row r="29" spans="1:44" ht="22.9" customHeight="1">
      <c r="A29" s="221">
        <v>27</v>
      </c>
      <c r="B29" s="96" t="s">
        <v>118</v>
      </c>
      <c r="C29" s="222"/>
      <c r="D29" s="222"/>
      <c r="E29" s="223">
        <v>3.8875000000000002</v>
      </c>
      <c r="F29" s="223">
        <v>39.015939999999993</v>
      </c>
      <c r="G29" s="223">
        <v>5.3039440000000004</v>
      </c>
      <c r="H29" s="223">
        <v>8.6382280000000016</v>
      </c>
      <c r="I29" s="223">
        <v>1.5424859999999998</v>
      </c>
      <c r="J29" s="223">
        <v>2.6574703999999998</v>
      </c>
      <c r="K29" s="223">
        <v>1.9716400000000001</v>
      </c>
      <c r="L29" s="223">
        <v>8.0782360000000004</v>
      </c>
      <c r="M29" s="222">
        <v>4.0181999999999995E-2</v>
      </c>
      <c r="N29" s="222">
        <v>4.6221999999999999E-2</v>
      </c>
      <c r="O29" s="224">
        <v>1.2340720000000001</v>
      </c>
      <c r="P29" s="224">
        <v>3.9965699999999997</v>
      </c>
      <c r="Q29" s="224"/>
      <c r="R29" s="224"/>
      <c r="S29" s="224"/>
      <c r="T29" s="224"/>
      <c r="U29" s="224">
        <v>0.57135400000000003</v>
      </c>
      <c r="V29" s="224">
        <v>3.3332660000000005</v>
      </c>
      <c r="W29" s="222"/>
      <c r="X29" s="222"/>
      <c r="Y29" s="222"/>
      <c r="Z29" s="222"/>
      <c r="AA29" s="222">
        <v>9.7699999999999995E-2</v>
      </c>
      <c r="AB29" s="222">
        <v>0.22319</v>
      </c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5">
        <f t="shared" si="0"/>
        <v>14.648878</v>
      </c>
      <c r="AP29" s="225">
        <f t="shared" si="1"/>
        <v>65.989122399999999</v>
      </c>
      <c r="AQ29" s="226"/>
      <c r="AR29" s="226"/>
    </row>
    <row r="30" spans="1:44" ht="22.9" customHeight="1">
      <c r="A30" s="221">
        <v>28</v>
      </c>
      <c r="B30" s="96" t="s">
        <v>119</v>
      </c>
      <c r="C30" s="222">
        <v>0.35099999999999998</v>
      </c>
      <c r="D30" s="222">
        <v>9.0999999999999998E-2</v>
      </c>
      <c r="E30" s="223">
        <v>12.875</v>
      </c>
      <c r="F30" s="223">
        <v>141.35599999999999</v>
      </c>
      <c r="G30" s="223">
        <v>4.5069999999999997</v>
      </c>
      <c r="H30" s="223">
        <v>7.7809999999999997</v>
      </c>
      <c r="I30" s="223">
        <v>18.795000000000002</v>
      </c>
      <c r="J30" s="223">
        <v>50.834000000000003</v>
      </c>
      <c r="K30" s="223">
        <v>4.0380000000000003</v>
      </c>
      <c r="L30" s="223">
        <v>38.146000000000001</v>
      </c>
      <c r="M30" s="222">
        <v>3.0139999999999998</v>
      </c>
      <c r="N30" s="222">
        <v>0.84699999999999998</v>
      </c>
      <c r="O30" s="224">
        <v>12.978</v>
      </c>
      <c r="P30" s="224">
        <v>16.132999999999999</v>
      </c>
      <c r="Q30" s="224">
        <v>1.5940000000000001</v>
      </c>
      <c r="R30" s="224">
        <v>1.728</v>
      </c>
      <c r="S30" s="224">
        <v>1.046</v>
      </c>
      <c r="T30" s="224">
        <v>1.081</v>
      </c>
      <c r="U30" s="224">
        <v>2.7610000000000001</v>
      </c>
      <c r="V30" s="224">
        <v>3.569</v>
      </c>
      <c r="W30" s="222"/>
      <c r="X30" s="222"/>
      <c r="Y30" s="224">
        <v>1.1379999999999999</v>
      </c>
      <c r="Z30" s="224">
        <v>1.552</v>
      </c>
      <c r="AA30" s="222">
        <v>0.874</v>
      </c>
      <c r="AB30" s="222">
        <v>2.5390000000000001</v>
      </c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5">
        <f t="shared" si="0"/>
        <v>63.971000000000011</v>
      </c>
      <c r="AP30" s="225">
        <f t="shared" si="1"/>
        <v>265.6570000000001</v>
      </c>
      <c r="AQ30" s="226"/>
      <c r="AR30" s="226"/>
    </row>
    <row r="31" spans="1:44" ht="22.9" customHeight="1">
      <c r="A31" s="221">
        <v>29</v>
      </c>
      <c r="B31" s="96" t="s">
        <v>185</v>
      </c>
      <c r="C31" s="222">
        <f>'Spices (UT''s)'!C10</f>
        <v>0.94699999999999995</v>
      </c>
      <c r="D31" s="222">
        <f>'Spices (UT''s)'!D10</f>
        <v>0.42500000000000004</v>
      </c>
      <c r="E31" s="222">
        <f>'Spices (UT''s)'!E10</f>
        <v>0.13800000000000001</v>
      </c>
      <c r="F31" s="222">
        <f>'Spices (UT''s)'!F10</f>
        <v>1.1000000000000001</v>
      </c>
      <c r="G31" s="222">
        <f>'Spices (UT''s)'!G10</f>
        <v>0.111</v>
      </c>
      <c r="H31" s="222">
        <f>'Spices (UT''s)'!H10</f>
        <v>0.65100000000000002</v>
      </c>
      <c r="I31" s="222">
        <f>'Spices (UT''s)'!I10</f>
        <v>9.6000000000000002E-2</v>
      </c>
      <c r="J31" s="222">
        <f>'Spices (UT''s)'!J10</f>
        <v>0.27500000000000002</v>
      </c>
      <c r="K31" s="222">
        <f>'Spices (UT''s)'!K10</f>
        <v>0</v>
      </c>
      <c r="L31" s="222">
        <f>'Spices (UT''s)'!L10</f>
        <v>0</v>
      </c>
      <c r="M31" s="222">
        <f>'Spices (UT''s)'!M10</f>
        <v>0</v>
      </c>
      <c r="N31" s="222">
        <f>'Spices (UT''s)'!N10</f>
        <v>0</v>
      </c>
      <c r="O31" s="222">
        <f>'Spices (UT''s)'!O10</f>
        <v>0</v>
      </c>
      <c r="P31" s="222">
        <f>'Spices (UT''s)'!P10</f>
        <v>0</v>
      </c>
      <c r="Q31" s="222">
        <f>'Spices (UT''s)'!Q10</f>
        <v>0</v>
      </c>
      <c r="R31" s="222">
        <f>'Spices (UT''s)'!R10</f>
        <v>0</v>
      </c>
      <c r="S31" s="222">
        <f>'Spices (UT''s)'!S10</f>
        <v>0</v>
      </c>
      <c r="T31" s="222">
        <f>'Spices (UT''s)'!T10</f>
        <v>0</v>
      </c>
      <c r="U31" s="222">
        <f>'Spices (UT''s)'!U10</f>
        <v>0</v>
      </c>
      <c r="V31" s="222">
        <f>'Spices (UT''s)'!V10</f>
        <v>0</v>
      </c>
      <c r="W31" s="222">
        <f>'Spices (UT''s)'!W10</f>
        <v>0</v>
      </c>
      <c r="X31" s="222">
        <f>'Spices (UT''s)'!X10</f>
        <v>0</v>
      </c>
      <c r="Y31" s="222">
        <f>'Spices (UT''s)'!Y10</f>
        <v>0</v>
      </c>
      <c r="Z31" s="222">
        <f>'Spices (UT''s)'!Z10</f>
        <v>0</v>
      </c>
      <c r="AA31" s="222">
        <f>'Spices (UT''s)'!AA10</f>
        <v>6.0999999999999999E-2</v>
      </c>
      <c r="AB31" s="222">
        <f>'Spices (UT''s)'!AB10</f>
        <v>4.1000000000000002E-2</v>
      </c>
      <c r="AC31" s="222">
        <f>'Spices (UT''s)'!AC10</f>
        <v>0.26800000000000002</v>
      </c>
      <c r="AD31" s="222">
        <f>'Spices (UT''s)'!AD10</f>
        <v>4.5999999999999999E-2</v>
      </c>
      <c r="AE31" s="222">
        <f>'Spices (UT''s)'!AE10</f>
        <v>3.5999999999999997E-2</v>
      </c>
      <c r="AF31" s="222">
        <f>'Spices (UT''s)'!AF10</f>
        <v>1.4E-2</v>
      </c>
      <c r="AG31" s="222">
        <f>'Spices (UT''s)'!AG10</f>
        <v>0.06</v>
      </c>
      <c r="AH31" s="222">
        <f>'Spices (UT''s)'!AH10</f>
        <v>0.24</v>
      </c>
      <c r="AI31" s="222">
        <f>'Spices (UT''s)'!AI10</f>
        <v>0</v>
      </c>
      <c r="AJ31" s="222">
        <f>'Spices (UT''s)'!AJ10</f>
        <v>0</v>
      </c>
      <c r="AK31" s="222">
        <f>'Spices (UT''s)'!AK10</f>
        <v>0</v>
      </c>
      <c r="AL31" s="222">
        <f>'Spices (UT''s)'!AL10</f>
        <v>0</v>
      </c>
      <c r="AM31" s="222">
        <f>'Spices (UT''s)'!AM10</f>
        <v>0</v>
      </c>
      <c r="AN31" s="222">
        <f>'Spices (UT''s)'!AN10</f>
        <v>0</v>
      </c>
      <c r="AO31" s="225">
        <f t="shared" si="0"/>
        <v>1.7170000000000001</v>
      </c>
      <c r="AP31" s="225">
        <f t="shared" si="1"/>
        <v>2.7919999999999998</v>
      </c>
      <c r="AQ31" s="226"/>
      <c r="AR31" s="226"/>
    </row>
    <row r="32" spans="1:44" ht="22.9" customHeight="1">
      <c r="A32" s="221"/>
      <c r="B32" s="96" t="s">
        <v>89</v>
      </c>
      <c r="C32" s="234">
        <f>C3+C4+C5+C6+C7+C8+C9+C10+C11+C12+C13+C14+C15+C16+C17+C18+C19+C20+C21+C22+C23+C24+C25+C26+C27+C28+C29+C30+C31</f>
        <v>288.11750333333345</v>
      </c>
      <c r="D32" s="234">
        <f t="shared" ref="D32:AN32" si="2">D3+D4+D5+D6+D7+D8+D9+D10+D11+D12+D13+D14+D15+D16+D17+D18+D19+D20+D21+D22+D23+D24+D25+D26+D27+D28+D29+D30+D31</f>
        <v>96.716247333333314</v>
      </c>
      <c r="E32" s="234">
        <f t="shared" si="2"/>
        <v>190.685472</v>
      </c>
      <c r="F32" s="234">
        <f t="shared" si="2"/>
        <v>2120.6429640000001</v>
      </c>
      <c r="G32" s="234">
        <f t="shared" si="2"/>
        <v>694.31253399999991</v>
      </c>
      <c r="H32" s="234">
        <f t="shared" si="2"/>
        <v>1866.1078284999999</v>
      </c>
      <c r="I32" s="234">
        <f t="shared" si="2"/>
        <v>349.64224200000007</v>
      </c>
      <c r="J32" s="234">
        <f t="shared" si="2"/>
        <v>1330.9313056000003</v>
      </c>
      <c r="K32" s="234">
        <f t="shared" si="2"/>
        <v>401.16687999999994</v>
      </c>
      <c r="L32" s="234">
        <f t="shared" si="2"/>
        <v>3277.4275640000001</v>
      </c>
      <c r="M32" s="234">
        <f t="shared" si="2"/>
        <v>85.737117999999995</v>
      </c>
      <c r="N32" s="234">
        <f t="shared" si="2"/>
        <v>26.780972000000002</v>
      </c>
      <c r="O32" s="234">
        <f t="shared" si="2"/>
        <v>631.69794949999994</v>
      </c>
      <c r="P32" s="234">
        <f t="shared" si="2"/>
        <v>800.74234999999999</v>
      </c>
      <c r="Q32" s="234">
        <f t="shared" si="2"/>
        <v>1036.7130000000002</v>
      </c>
      <c r="R32" s="234">
        <f t="shared" si="2"/>
        <v>725.6507499999999</v>
      </c>
      <c r="S32" s="234">
        <f t="shared" si="2"/>
        <v>82.22420000000001</v>
      </c>
      <c r="T32" s="234">
        <f t="shared" si="2"/>
        <v>137.28039200000001</v>
      </c>
      <c r="U32" s="234">
        <f t="shared" si="2"/>
        <v>167.46795399999999</v>
      </c>
      <c r="V32" s="234">
        <f t="shared" si="2"/>
        <v>248.20262599999998</v>
      </c>
      <c r="W32" s="234">
        <f t="shared" si="2"/>
        <v>39.394399999999997</v>
      </c>
      <c r="X32" s="234">
        <f t="shared" si="2"/>
        <v>28.175814000000003</v>
      </c>
      <c r="Y32" s="234">
        <f t="shared" si="2"/>
        <v>25.219799999999999</v>
      </c>
      <c r="Z32" s="234">
        <f t="shared" si="2"/>
        <v>30.408111999999999</v>
      </c>
      <c r="AA32" s="234">
        <f t="shared" si="2"/>
        <v>1.6594519999999999</v>
      </c>
      <c r="AB32" s="234">
        <f t="shared" si="2"/>
        <v>3.9738141920000003</v>
      </c>
      <c r="AC32" s="234">
        <f t="shared" si="2"/>
        <v>24.079200000000007</v>
      </c>
      <c r="AD32" s="234">
        <f t="shared" si="2"/>
        <v>15.384440999999997</v>
      </c>
      <c r="AE32" s="234">
        <f t="shared" si="2"/>
        <v>2.2101839999999999</v>
      </c>
      <c r="AF32" s="234">
        <f t="shared" si="2"/>
        <v>1.3352792</v>
      </c>
      <c r="AG32" s="234">
        <f t="shared" si="2"/>
        <v>44.994850000000007</v>
      </c>
      <c r="AH32" s="234">
        <f t="shared" si="2"/>
        <v>162.03435000000002</v>
      </c>
      <c r="AI32" s="234">
        <f t="shared" si="2"/>
        <v>2.0640000000000001</v>
      </c>
      <c r="AJ32" s="234">
        <f t="shared" si="2"/>
        <v>3.0000000000000001E-3</v>
      </c>
      <c r="AK32" s="234">
        <f t="shared" si="2"/>
        <v>0.174572</v>
      </c>
      <c r="AL32" s="234">
        <f t="shared" si="2"/>
        <v>7.5544E-2</v>
      </c>
      <c r="AM32" s="234">
        <f t="shared" si="2"/>
        <v>346.29899999999998</v>
      </c>
      <c r="AN32" s="234">
        <f t="shared" si="2"/>
        <v>35.006999999999998</v>
      </c>
      <c r="AO32" s="225">
        <f t="shared" ref="AO32" si="3">C32+E32+G32+I32+K32+M32+O32+Q32+S32+U32+W32+Y32+AA32+AC32+AE32+AG32+AI32+AK32+AM32</f>
        <v>4413.8603108333336</v>
      </c>
      <c r="AP32" s="225">
        <f t="shared" ref="AP32" si="4">D32+F32+H32+J32+L32+N32+P32+R32+T32+V32+X32+Z32+AB32+AD32+AF32+AH32+AJ32+AL32+AN32</f>
        <v>10906.880353825336</v>
      </c>
      <c r="AQ32" s="226"/>
      <c r="AR32" s="226"/>
    </row>
    <row r="34" spans="15:20">
      <c r="O34" s="235"/>
      <c r="P34" s="235"/>
      <c r="Q34" s="235"/>
      <c r="R34" s="235"/>
      <c r="S34" s="235"/>
      <c r="T34" s="235"/>
    </row>
    <row r="37" spans="15:20">
      <c r="O37" s="237"/>
      <c r="P37" s="237"/>
      <c r="Q37" s="237"/>
      <c r="R37" s="237"/>
      <c r="S37" s="237"/>
      <c r="T37" s="237"/>
    </row>
  </sheetData>
  <mergeCells count="20">
    <mergeCell ref="W1:X1"/>
    <mergeCell ref="Y1:Z1"/>
    <mergeCell ref="AO1:AP1"/>
    <mergeCell ref="AA1:AB1"/>
    <mergeCell ref="AC1:AD1"/>
    <mergeCell ref="AE1:AF1"/>
    <mergeCell ref="AG1:AH1"/>
    <mergeCell ref="AI1:AJ1"/>
    <mergeCell ref="AM1:AN1"/>
    <mergeCell ref="AK1:AL1"/>
    <mergeCell ref="M1:N1"/>
    <mergeCell ref="O1:P1"/>
    <mergeCell ref="Q1:R1"/>
    <mergeCell ref="S1:T1"/>
    <mergeCell ref="U1:V1"/>
    <mergeCell ref="C1:D1"/>
    <mergeCell ref="E1:F1"/>
    <mergeCell ref="G1:H1"/>
    <mergeCell ref="I1:J1"/>
    <mergeCell ref="K1:L1"/>
  </mergeCells>
  <pageMargins left="1" right="1" top="1" bottom="1" header="0.5" footer="0.5"/>
  <pageSetup scale="59" fitToWidth="0" orientation="landscape" r:id="rId1"/>
  <headerFooter>
    <oddHeader>&amp;C&amp;"Times New Roman,Bold"&amp;16Second Advance Estimates of 2021-22
 Area and Production of Spice Crops&amp;R&amp;"Times New Roman,Bold"&amp;12Area in '000  Ha
Production in '000 MT</oddHeader>
    <oddFooter>Page &amp;P of &amp;N</oddFooter>
  </headerFooter>
  <colBreaks count="2" manualBreakCount="2">
    <brk id="14" max="31" man="1"/>
    <brk id="28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"/>
  <sheetViews>
    <sheetView zoomScale="85" zoomScaleNormal="85" workbookViewId="0">
      <selection activeCell="P11" sqref="P11"/>
    </sheetView>
  </sheetViews>
  <sheetFormatPr defaultColWidth="9" defaultRowHeight="18.75"/>
  <cols>
    <col min="1" max="1" width="9" style="12"/>
    <col min="2" max="2" width="32" style="12" customWidth="1"/>
    <col min="3" max="3" width="13.875" style="12" customWidth="1"/>
    <col min="4" max="4" width="11.75" style="12" customWidth="1"/>
    <col min="5" max="5" width="11.25" style="12" customWidth="1"/>
    <col min="6" max="6" width="12.75" style="12" customWidth="1"/>
    <col min="7" max="7" width="9.75" style="12" customWidth="1"/>
    <col min="8" max="8" width="11.25" style="12" customWidth="1"/>
    <col min="9" max="16" width="10.75" style="12" customWidth="1"/>
    <col min="17" max="17" width="11.375" style="12" customWidth="1"/>
    <col min="18" max="18" width="13.75" style="12" customWidth="1"/>
    <col min="19" max="19" width="9" style="12"/>
    <col min="20" max="20" width="10.5" style="12" customWidth="1"/>
    <col min="21" max="16384" width="9" style="12"/>
  </cols>
  <sheetData>
    <row r="1" spans="1:18" ht="41.25" customHeight="1">
      <c r="A1" s="385" t="s">
        <v>219</v>
      </c>
      <c r="B1" s="387" t="s">
        <v>84</v>
      </c>
      <c r="C1" s="388" t="s">
        <v>199</v>
      </c>
      <c r="D1" s="388"/>
      <c r="E1" s="389" t="s">
        <v>200</v>
      </c>
      <c r="F1" s="389"/>
      <c r="G1" s="384" t="s">
        <v>201</v>
      </c>
      <c r="H1" s="384"/>
      <c r="I1" s="390" t="s">
        <v>202</v>
      </c>
      <c r="J1" s="390"/>
      <c r="K1" s="384" t="s">
        <v>78</v>
      </c>
      <c r="L1" s="384"/>
      <c r="M1" s="384"/>
      <c r="N1" s="384" t="s">
        <v>79</v>
      </c>
      <c r="O1" s="384"/>
      <c r="P1" s="43" t="s">
        <v>80</v>
      </c>
      <c r="Q1" s="384" t="s">
        <v>216</v>
      </c>
      <c r="R1" s="384"/>
    </row>
    <row r="2" spans="1:18" ht="19.5" customHeight="1">
      <c r="A2" s="386"/>
      <c r="B2" s="387"/>
      <c r="C2" s="45" t="s">
        <v>90</v>
      </c>
      <c r="D2" s="45" t="s">
        <v>91</v>
      </c>
      <c r="E2" s="45" t="s">
        <v>90</v>
      </c>
      <c r="F2" s="45" t="s">
        <v>91</v>
      </c>
      <c r="G2" s="45" t="s">
        <v>90</v>
      </c>
      <c r="H2" s="45" t="s">
        <v>91</v>
      </c>
      <c r="I2" s="45" t="s">
        <v>90</v>
      </c>
      <c r="J2" s="45" t="s">
        <v>91</v>
      </c>
      <c r="K2" s="13" t="s">
        <v>90</v>
      </c>
      <c r="L2" s="384" t="s">
        <v>91</v>
      </c>
      <c r="M2" s="384"/>
      <c r="N2" s="45" t="s">
        <v>90</v>
      </c>
      <c r="O2" s="45" t="s">
        <v>91</v>
      </c>
      <c r="P2" s="13" t="s">
        <v>91</v>
      </c>
      <c r="Q2" s="45" t="s">
        <v>90</v>
      </c>
      <c r="R2" s="45" t="s">
        <v>91</v>
      </c>
    </row>
    <row r="3" spans="1:18">
      <c r="A3" s="14"/>
      <c r="B3" s="14"/>
      <c r="C3" s="44"/>
      <c r="D3" s="44"/>
      <c r="E3" s="15"/>
      <c r="F3" s="15"/>
      <c r="G3" s="15"/>
      <c r="H3" s="15"/>
      <c r="I3" s="15"/>
      <c r="J3" s="15"/>
      <c r="K3" s="14"/>
      <c r="L3" s="43" t="s">
        <v>81</v>
      </c>
      <c r="M3" s="43" t="s">
        <v>82</v>
      </c>
      <c r="N3" s="14"/>
      <c r="O3" s="14"/>
      <c r="P3" s="14"/>
      <c r="Q3" s="14"/>
      <c r="R3" s="14"/>
    </row>
    <row r="4" spans="1:18" ht="25.5" customHeight="1">
      <c r="A4" s="37">
        <v>1</v>
      </c>
      <c r="B4" s="34" t="s">
        <v>222</v>
      </c>
      <c r="C4" s="1">
        <f>'Fruits (UT''s)'!BG3</f>
        <v>3.4630000000000001</v>
      </c>
      <c r="D4" s="1">
        <f>'Fruits (UT''s)'!BH3</f>
        <v>30.6</v>
      </c>
      <c r="E4" s="2">
        <f>'Vegetables (UT''s)'!AW3</f>
        <v>5.43</v>
      </c>
      <c r="F4" s="2">
        <f>'Vegetables (UT''s)'!AX3</f>
        <v>43.36</v>
      </c>
      <c r="G4" s="3">
        <f>'Plantation (UT''s)'!K3</f>
        <v>22.451000000000001</v>
      </c>
      <c r="H4" s="3">
        <f>'Plantation (UT''s)'!L3</f>
        <v>107.90046197462223</v>
      </c>
      <c r="I4" s="4"/>
      <c r="J4" s="4"/>
      <c r="K4" s="3">
        <f>'Flowers (UT''s)'!AN4</f>
        <v>8.4999999999999992E-2</v>
      </c>
      <c r="L4" s="3">
        <f>'Flowers (UT''s)'!AO4</f>
        <v>0.15000000000000002</v>
      </c>
      <c r="M4" s="3">
        <f>'Flowers (UT''s)'!AP4</f>
        <v>0</v>
      </c>
      <c r="N4" s="3">
        <f>'Spices (UT''s)'!AO3</f>
        <v>0.53500000000000003</v>
      </c>
      <c r="O4" s="3">
        <f>'Spices (UT''s)'!AP3</f>
        <v>2.0579999999999998</v>
      </c>
      <c r="P4" s="3"/>
      <c r="Q4" s="5">
        <f>C4+E4+G4+I4+K4+N4</f>
        <v>31.964000000000002</v>
      </c>
      <c r="R4" s="5">
        <f>D4+F4+H4+J4+L4+M4+O4+P4</f>
        <v>184.06846197462224</v>
      </c>
    </row>
    <row r="5" spans="1:18" ht="25.5" customHeight="1">
      <c r="A5" s="37">
        <v>2</v>
      </c>
      <c r="B5" s="34" t="s">
        <v>223</v>
      </c>
      <c r="C5" s="1">
        <f>'Fruits (UT''s)'!BG4</f>
        <v>0</v>
      </c>
      <c r="D5" s="1">
        <f>'Fruits (UT''s)'!BH4</f>
        <v>0</v>
      </c>
      <c r="E5" s="2">
        <f>'Vegetables (UT''s)'!AW4</f>
        <v>0.153</v>
      </c>
      <c r="F5" s="2">
        <f>'Vegetables (UT''s)'!AX4</f>
        <v>2.5289999999999999</v>
      </c>
      <c r="G5" s="3">
        <f>'Plantation (UT''s)'!K4</f>
        <v>0.02</v>
      </c>
      <c r="H5" s="3">
        <f>'Plantation (UT''s)'!L4</f>
        <v>0.09</v>
      </c>
      <c r="I5" s="4"/>
      <c r="J5" s="4"/>
      <c r="K5" s="3">
        <f>'Flowers (UT''s)'!AN5</f>
        <v>0</v>
      </c>
      <c r="L5" s="3">
        <f>'Flowers (UT''s)'!AO5</f>
        <v>0</v>
      </c>
      <c r="M5" s="3">
        <f>'Flowers (UT''s)'!AP5</f>
        <v>0</v>
      </c>
      <c r="N5" s="3">
        <f>'Spices (UT''s)'!AO4</f>
        <v>0</v>
      </c>
      <c r="O5" s="3">
        <f>'Spices (UT''s)'!AP4</f>
        <v>0</v>
      </c>
      <c r="P5" s="3"/>
      <c r="Q5" s="5">
        <f t="shared" ref="Q5:Q10" si="0">C5+E5+G5+I5+K5+N5</f>
        <v>0.17299999999999999</v>
      </c>
      <c r="R5" s="5">
        <f t="shared" ref="R5:R10" si="1">D5+F5+H5+J5+L5+M5+O5+P5</f>
        <v>2.6189999999999998</v>
      </c>
    </row>
    <row r="6" spans="1:18" ht="25.5" customHeight="1">
      <c r="A6" s="37">
        <v>3</v>
      </c>
      <c r="B6" s="34" t="s">
        <v>224</v>
      </c>
      <c r="C6" s="1">
        <f>'Fruits (UT''s)'!BG5</f>
        <v>0</v>
      </c>
      <c r="D6" s="1">
        <f>'Fruits (UT''s)'!BH5</f>
        <v>0</v>
      </c>
      <c r="E6" s="2">
        <f>'Vegetables (UT''s)'!AW5</f>
        <v>0.02</v>
      </c>
      <c r="F6" s="2">
        <f>'Vegetables (UT''s)'!AX5</f>
        <v>1.96</v>
      </c>
      <c r="G6" s="3">
        <f>'Plantation (UT''s)'!K5</f>
        <v>0.01</v>
      </c>
      <c r="H6" s="3">
        <f>'Plantation (UT''s)'!L5</f>
        <v>0.28999999999999998</v>
      </c>
      <c r="I6" s="4"/>
      <c r="J6" s="4"/>
      <c r="K6" s="3">
        <f>'Flowers (UT''s)'!AN6</f>
        <v>4.0000000000000001E-3</v>
      </c>
      <c r="L6" s="3">
        <f>'Flowers (UT''s)'!AO6</f>
        <v>0.03</v>
      </c>
      <c r="M6" s="3">
        <f>'Flowers (UT''s)'!AP6</f>
        <v>0</v>
      </c>
      <c r="N6" s="3">
        <f>'Spices (UT''s)'!AO5</f>
        <v>0</v>
      </c>
      <c r="O6" s="3">
        <f>'Spices (UT''s)'!AP5</f>
        <v>0</v>
      </c>
      <c r="P6" s="3"/>
      <c r="Q6" s="5">
        <f t="shared" si="0"/>
        <v>3.4000000000000002E-2</v>
      </c>
      <c r="R6" s="5">
        <f t="shared" si="1"/>
        <v>2.2799999999999998</v>
      </c>
    </row>
    <row r="7" spans="1:18" ht="25.5" customHeight="1">
      <c r="A7" s="37">
        <v>4</v>
      </c>
      <c r="B7" s="35" t="s">
        <v>225</v>
      </c>
      <c r="C7" s="1">
        <f>'Fruits (UT''s)'!BG6</f>
        <v>0</v>
      </c>
      <c r="D7" s="1">
        <f>'Fruits (UT''s)'!BH6</f>
        <v>0</v>
      </c>
      <c r="E7" s="2">
        <f>'Vegetables (UT''s)'!AW6</f>
        <v>24.038</v>
      </c>
      <c r="F7" s="2">
        <f>'Vegetables (UT''s)'!AX6</f>
        <v>372.82400000000001</v>
      </c>
      <c r="G7" s="3">
        <f>'Plantation (UT''s)'!K6</f>
        <v>0</v>
      </c>
      <c r="H7" s="3">
        <f>'Plantation (UT''s)'!L6</f>
        <v>0</v>
      </c>
      <c r="I7" s="4"/>
      <c r="J7" s="4"/>
      <c r="K7" s="3">
        <f>'Flowers (UT''s)'!AN7</f>
        <v>0</v>
      </c>
      <c r="L7" s="3">
        <f>'Flowers (UT''s)'!AO7</f>
        <v>0</v>
      </c>
      <c r="M7" s="3">
        <f>'Flowers (UT''s)'!AP7</f>
        <v>0</v>
      </c>
      <c r="N7" s="3">
        <f>'Spices (UT''s)'!AO6</f>
        <v>0</v>
      </c>
      <c r="O7" s="3">
        <f>'Spices (UT''s)'!AP6</f>
        <v>0</v>
      </c>
      <c r="P7" s="3"/>
      <c r="Q7" s="5">
        <f t="shared" si="0"/>
        <v>24.038</v>
      </c>
      <c r="R7" s="5">
        <f t="shared" si="1"/>
        <v>372.82400000000001</v>
      </c>
    </row>
    <row r="8" spans="1:18" ht="25.5" customHeight="1">
      <c r="A8" s="37">
        <v>5</v>
      </c>
      <c r="B8" s="35" t="s">
        <v>226</v>
      </c>
      <c r="C8" s="1">
        <f>'Fruits (UT''s)'!BG7</f>
        <v>11.801</v>
      </c>
      <c r="D8" s="1">
        <f>'Fruits (UT''s)'!BH7</f>
        <v>77.95</v>
      </c>
      <c r="E8" s="2">
        <f>'Vegetables (UT''s)'!AW7</f>
        <v>8.1079999999999988</v>
      </c>
      <c r="F8" s="2">
        <f>'Vegetables (UT''s)'!AX7</f>
        <v>86.09</v>
      </c>
      <c r="G8" s="3">
        <f>'Plantation (UT''s)'!K7</f>
        <v>87.644999999999996</v>
      </c>
      <c r="H8" s="3">
        <f>'Plantation (UT''s)'!L7</f>
        <v>135.22496633728773</v>
      </c>
      <c r="I8" s="4"/>
      <c r="J8" s="4"/>
      <c r="K8" s="3">
        <f>'Flowers (UT''s)'!AN8</f>
        <v>2E-3</v>
      </c>
      <c r="L8" s="3">
        <f>'Flowers (UT''s)'!AO8</f>
        <v>0</v>
      </c>
      <c r="M8" s="3">
        <f>'Flowers (UT''s)'!AP8</f>
        <v>1.6E-2</v>
      </c>
      <c r="N8" s="3">
        <f>'Spices (UT''s)'!AO7</f>
        <v>1.097</v>
      </c>
      <c r="O8" s="3">
        <f>'Spices (UT''s)'!AP7</f>
        <v>0.4</v>
      </c>
      <c r="P8" s="3">
        <v>9.9900000000000006E-3</v>
      </c>
      <c r="Q8" s="5">
        <f t="shared" si="0"/>
        <v>108.65299999999999</v>
      </c>
      <c r="R8" s="5">
        <f t="shared" si="1"/>
        <v>299.69095633728779</v>
      </c>
    </row>
    <row r="9" spans="1:18" ht="25.5" customHeight="1">
      <c r="A9" s="37">
        <v>6</v>
      </c>
      <c r="B9" s="34" t="s">
        <v>241</v>
      </c>
      <c r="C9" s="1">
        <f>'Fruits (UT''s)'!BG8</f>
        <v>0</v>
      </c>
      <c r="D9" s="1">
        <f>'Fruits (UT''s)'!BH8</f>
        <v>0</v>
      </c>
      <c r="E9" s="2">
        <f>'Vegetables (UT''s)'!AW8</f>
        <v>0.33</v>
      </c>
      <c r="F9" s="2">
        <f>'Vegetables (UT''s)'!AX8</f>
        <v>0.76</v>
      </c>
      <c r="G9" s="3">
        <f>'Plantation (UT''s)'!K8</f>
        <v>2.75</v>
      </c>
      <c r="H9" s="3">
        <f>'Plantation (UT''s)'!L8</f>
        <v>0.67</v>
      </c>
      <c r="I9" s="3"/>
      <c r="J9" s="3"/>
      <c r="K9" s="3">
        <f>'Flowers (UT''s)'!AN9</f>
        <v>0</v>
      </c>
      <c r="L9" s="3">
        <f>'Flowers (UT''s)'!AO9</f>
        <v>0</v>
      </c>
      <c r="M9" s="3">
        <f>'Flowers (UT''s)'!AP9</f>
        <v>0</v>
      </c>
      <c r="N9" s="3">
        <f>'Spices (UT''s)'!AO8</f>
        <v>0</v>
      </c>
      <c r="O9" s="3">
        <f>'Spices (UT''s)'!AP8</f>
        <v>0</v>
      </c>
      <c r="P9" s="3"/>
      <c r="Q9" s="5">
        <f t="shared" si="0"/>
        <v>3.08</v>
      </c>
      <c r="R9" s="5">
        <f t="shared" si="1"/>
        <v>1.4300000000000002</v>
      </c>
    </row>
    <row r="10" spans="1:18" ht="25.5" customHeight="1">
      <c r="A10" s="37">
        <v>7</v>
      </c>
      <c r="B10" s="36" t="s">
        <v>227</v>
      </c>
      <c r="C10" s="1">
        <f>'Fruits (UT''s)'!BG9</f>
        <v>0.6070000000000001</v>
      </c>
      <c r="D10" s="1">
        <f>'Fruits (UT''s)'!BH9</f>
        <v>13.313000000000001</v>
      </c>
      <c r="E10" s="2">
        <f>'Vegetables (UT''s)'!AW9</f>
        <v>0.51510000000000011</v>
      </c>
      <c r="F10" s="2">
        <f>'Vegetables (UT''s)'!AX9</f>
        <v>10.727999999999998</v>
      </c>
      <c r="G10" s="3">
        <f>'Plantation (UT''s)'!K9</f>
        <v>6.8539999999999992</v>
      </c>
      <c r="H10" s="3">
        <f>'Plantation (UT''s)'!L9</f>
        <v>2.4468773499215541</v>
      </c>
      <c r="I10" s="3"/>
      <c r="J10" s="3"/>
      <c r="K10" s="3">
        <f>'Flowers (UT''s)'!AN10</f>
        <v>8.6620000000000003E-2</v>
      </c>
      <c r="L10" s="3">
        <f>'Flowers (UT''s)'!AO10</f>
        <v>0.58699999999999997</v>
      </c>
      <c r="M10" s="3">
        <f>'Flowers (UT''s)'!AP10</f>
        <v>0</v>
      </c>
      <c r="N10" s="3">
        <f>'Spices (UT''s)'!AO9</f>
        <v>8.4999999999999992E-2</v>
      </c>
      <c r="O10" s="3">
        <f>'Spices (UT''s)'!AP9</f>
        <v>0.33399999999999996</v>
      </c>
      <c r="P10" s="3">
        <v>0.3</v>
      </c>
      <c r="Q10" s="5">
        <f t="shared" si="0"/>
        <v>8.1477199999999996</v>
      </c>
      <c r="R10" s="5">
        <f t="shared" si="1"/>
        <v>27.708877349921551</v>
      </c>
    </row>
    <row r="11" spans="1:18" ht="25.5" customHeight="1">
      <c r="A11" s="38"/>
      <c r="B11" s="39" t="s">
        <v>242</v>
      </c>
      <c r="C11" s="7">
        <f>C4+C5+C6+C7+C8+C9+C10</f>
        <v>15.870999999999999</v>
      </c>
      <c r="D11" s="7">
        <f t="shared" ref="D11:R11" si="2">D4+D5+D6+D7+D8+D9+D10</f>
        <v>121.86300000000001</v>
      </c>
      <c r="E11" s="7">
        <f t="shared" si="2"/>
        <v>38.59409999999999</v>
      </c>
      <c r="F11" s="7">
        <f t="shared" si="2"/>
        <v>518.25099999999998</v>
      </c>
      <c r="G11" s="7">
        <f t="shared" si="2"/>
        <v>119.73</v>
      </c>
      <c r="H11" s="7">
        <f t="shared" si="2"/>
        <v>246.62230566183149</v>
      </c>
      <c r="I11" s="7">
        <f t="shared" si="2"/>
        <v>0</v>
      </c>
      <c r="J11" s="7">
        <f t="shared" si="2"/>
        <v>0</v>
      </c>
      <c r="K11" s="7">
        <f t="shared" si="2"/>
        <v>0.17762</v>
      </c>
      <c r="L11" s="7">
        <f t="shared" si="2"/>
        <v>0.76700000000000002</v>
      </c>
      <c r="M11" s="7">
        <f t="shared" si="2"/>
        <v>1.6E-2</v>
      </c>
      <c r="N11" s="7">
        <f t="shared" si="2"/>
        <v>1.7170000000000001</v>
      </c>
      <c r="O11" s="7">
        <f t="shared" si="2"/>
        <v>2.7919999999999998</v>
      </c>
      <c r="P11" s="7">
        <f t="shared" si="2"/>
        <v>0.30998999999999999</v>
      </c>
      <c r="Q11" s="7">
        <f t="shared" si="2"/>
        <v>176.08972</v>
      </c>
      <c r="R11" s="7">
        <f t="shared" si="2"/>
        <v>890.6212956618316</v>
      </c>
    </row>
    <row r="12" spans="1:18">
      <c r="C12" s="6"/>
      <c r="D12" s="16"/>
      <c r="E12" s="17"/>
      <c r="F12" s="17"/>
      <c r="G12" s="17"/>
      <c r="H12" s="17"/>
      <c r="I12" s="18"/>
      <c r="J12" s="17"/>
      <c r="K12" s="17"/>
      <c r="L12" s="17"/>
      <c r="M12" s="17"/>
      <c r="N12" s="6"/>
      <c r="O12" s="6"/>
      <c r="P12" s="6"/>
      <c r="Q12" s="6"/>
      <c r="R12" s="6"/>
    </row>
    <row r="13" spans="1:18">
      <c r="D13" s="20"/>
      <c r="E13" s="21"/>
      <c r="F13" s="21"/>
      <c r="G13" s="17"/>
      <c r="H13" s="17"/>
      <c r="I13" s="18"/>
      <c r="J13" s="21"/>
      <c r="K13" s="21"/>
      <c r="L13" s="21"/>
      <c r="M13" s="21"/>
    </row>
    <row r="14" spans="1:18">
      <c r="E14" s="21"/>
      <c r="F14" s="21"/>
      <c r="G14" s="21"/>
      <c r="H14" s="21"/>
      <c r="I14" s="21"/>
      <c r="J14" s="21"/>
      <c r="K14" s="21"/>
      <c r="L14" s="21"/>
      <c r="M14" s="21"/>
    </row>
    <row r="15" spans="1:18">
      <c r="H15" s="19"/>
    </row>
    <row r="16" spans="1:18">
      <c r="H16" s="19"/>
    </row>
    <row r="17" spans="8:8">
      <c r="H17" s="19"/>
    </row>
  </sheetData>
  <mergeCells count="10">
    <mergeCell ref="K1:M1"/>
    <mergeCell ref="N1:O1"/>
    <mergeCell ref="Q1:R1"/>
    <mergeCell ref="L2:M2"/>
    <mergeCell ref="A1:A2"/>
    <mergeCell ref="B1:B2"/>
    <mergeCell ref="C1:D1"/>
    <mergeCell ref="E1:F1"/>
    <mergeCell ref="G1:H1"/>
    <mergeCell ref="I1:J1"/>
  </mergeCells>
  <pageMargins left="0.2" right="0.2" top="0.92" bottom="0.46" header="0.56000000000000005" footer="0.16"/>
  <pageSetup scale="55" orientation="landscape" r:id="rId1"/>
  <headerFooter>
    <oddHeader>&amp;C&amp;"-,Bold"&amp;24HORTICULTURE CROPS CATEGORY WISE 2021-22 (Second Advance Estimates)&amp;R&amp;"-,Bold"&amp;12Area in '000 Ha
Production in '000 MT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23</vt:i4>
      </vt:variant>
    </vt:vector>
  </HeadingPairs>
  <TitlesOfParts>
    <vt:vector size="38" baseType="lpstr">
      <vt:lpstr>Summary</vt:lpstr>
      <vt:lpstr>Horticulture</vt:lpstr>
      <vt:lpstr>Fruits</vt:lpstr>
      <vt:lpstr> Citrus</vt:lpstr>
      <vt:lpstr>Vegetables</vt:lpstr>
      <vt:lpstr>Plantations </vt:lpstr>
      <vt:lpstr>Flowers </vt:lpstr>
      <vt:lpstr>Spices</vt:lpstr>
      <vt:lpstr>Horticulture (UT's )</vt:lpstr>
      <vt:lpstr>Fruits (UT's)</vt:lpstr>
      <vt:lpstr> Citrus (UT's)</vt:lpstr>
      <vt:lpstr>Vegetables (UT's)</vt:lpstr>
      <vt:lpstr>Plantation (UT's)</vt:lpstr>
      <vt:lpstr>Flowers (UT's)</vt:lpstr>
      <vt:lpstr>Spices (UT's)</vt:lpstr>
      <vt:lpstr>' Citrus'!Print_Area</vt:lpstr>
      <vt:lpstr>' Citrus (UT''s)'!Print_Area</vt:lpstr>
      <vt:lpstr>'Flowers '!Print_Area</vt:lpstr>
      <vt:lpstr>'Flowers (UT''s)'!Print_Area</vt:lpstr>
      <vt:lpstr>Fruits!Print_Area</vt:lpstr>
      <vt:lpstr>'Fruits (UT''s)'!Print_Area</vt:lpstr>
      <vt:lpstr>Horticulture!Print_Area</vt:lpstr>
      <vt:lpstr>'Horticulture (UT''s )'!Print_Area</vt:lpstr>
      <vt:lpstr>'Plantation (UT''s)'!Print_Area</vt:lpstr>
      <vt:lpstr>'Plantations '!Print_Area</vt:lpstr>
      <vt:lpstr>Spices!Print_Area</vt:lpstr>
      <vt:lpstr>'Spices (UT''s)'!Print_Area</vt:lpstr>
      <vt:lpstr>Summary!Print_Area</vt:lpstr>
      <vt:lpstr>Vegetables!Print_Area</vt:lpstr>
      <vt:lpstr>'Vegetables (UT''s)'!Print_Area</vt:lpstr>
      <vt:lpstr>'Flowers '!Print_Titles</vt:lpstr>
      <vt:lpstr>'Flowers (UT''s)'!Print_Titles</vt:lpstr>
      <vt:lpstr>Fruits!Print_Titles</vt:lpstr>
      <vt:lpstr>'Fruits (UT''s)'!Print_Titles</vt:lpstr>
      <vt:lpstr>Spices!Print_Titles</vt:lpstr>
      <vt:lpstr>'Spices (UT''s)'!Print_Titles</vt:lpstr>
      <vt:lpstr>Vegetables!Print_Titles</vt:lpstr>
      <vt:lpstr>'Vegetables (UT''s)'!Print_Titles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2022-07-14T09:16:10Z</dcterms:modified>
</cp:coreProperties>
</file>